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1835"/>
  </bookViews>
  <sheets>
    <sheet name="KPI_ΕΠΙΣΚΟΠΗΣΗ" sheetId="19" r:id="rId1"/>
    <sheet name="ΕΙΣΠΡΑΞΗ ΛΗΞΙΠΡΟΘΕΣΜΩΝ" sheetId="7" r:id="rId2"/>
    <sheet name="ΕΙΣΠΡΑΞΗ ΛΗΞΙΠΡΟΘΕΣΜΩΝ ΕΜΕΙΣ" sheetId="23" r:id="rId3"/>
    <sheet name="ΕΛΕΓΧΟΙ ΦΡΕΣΚΩΝ ΥΠΟΘ" sheetId="24" r:id="rId4"/>
    <sheet name="ΚΕΜΕΕΠ" sheetId="39" r:id="rId5"/>
    <sheet name="ΚΕΦΟΜΕΠ" sheetId="40" r:id="rId6"/>
    <sheet name="ΥΕΔΔΕ" sheetId="35" r:id="rId7"/>
    <sheet name="ΕΠΙΣΤΡΟΦΕΣ ΦΟΡΩΝ" sheetId="15" r:id="rId8"/>
    <sheet name="ΣΥΜΜΟΡΦΩΣΗ" sheetId="38" r:id="rId9"/>
    <sheet name="ΑΝΑΓΚ. ΜΕΤΡΑ ΕΙΣΠΡΑΞΗΣ" sheetId="33" r:id="rId10"/>
    <sheet name="ΔΕΔ ΑΘΗΝΑ" sheetId="36" r:id="rId11"/>
    <sheet name="ΔΕΔ ΘΕΣΣΑΛΟΝΙΚΗ" sheetId="37" r:id="rId12"/>
    <sheet name="ΑΝΘΡΩΠΙΝΟ ΔΥΝΑΜΙΚΟ" sheetId="34" r:id="rId13"/>
    <sheet name="ΜΗΝΥΤΗΡΙΕΣ" sheetId="5" r:id="rId14"/>
  </sheets>
  <externalReferences>
    <externalReference r:id="rId15"/>
  </externalReferences>
  <definedNames>
    <definedName name="_xlnm.Print_Area" localSheetId="0">KPI_ΕΠΙΣΚΟΠΗΣΗ!$A$1:$F$25</definedName>
    <definedName name="_xlnm.Print_Area" localSheetId="9">'ΑΝΑΓΚ. ΜΕΤΡΑ ΕΙΣΠΡΑΞΗΣ'!$A$1:$Q$16</definedName>
    <definedName name="_xlnm.Print_Area" localSheetId="12">'ΑΝΘΡΩΠΙΝΟ ΔΥΝΑΜΙΚΟ'!$A$1:$R$45</definedName>
    <definedName name="_xlnm.Print_Area" localSheetId="10">'ΔΕΔ ΑΘΗΝΑ'!$A$1:$BD$41</definedName>
    <definedName name="_xlnm.Print_Area" localSheetId="11">'ΔΕΔ ΘΕΣΣΑΛΟΝΙΚΗ'!$A$1:$M$37</definedName>
    <definedName name="_xlnm.Print_Area" localSheetId="2">'ΕΙΣΠΡΑΞΗ ΛΗΞΙΠΡΟΘΕΣΜΩΝ ΕΜΕΙΣ'!$A$1:$Q$29</definedName>
    <definedName name="_xlnm.Print_Area" localSheetId="3">'ΕΛΕΓΧΟΙ ΦΡΕΣΚΩΝ ΥΠΟΘ'!$A$1:$O$32</definedName>
    <definedName name="_xlnm.Print_Area" localSheetId="7">'ΕΠΙΣΤΡΟΦΕΣ ΦΟΡΩΝ'!$A$1:$I$18</definedName>
    <definedName name="_xlnm.Print_Area" localSheetId="4">ΚΕΜΕΕΠ!$A$1:$Q$69</definedName>
    <definedName name="_xlnm.Print_Area" localSheetId="5">ΚΕΦΟΜΕΠ!$A$1:$Q$35</definedName>
    <definedName name="_xlnm.Print_Area" localSheetId="13">ΜΗΝΥΤΗΡΙΕΣ!$A$1:$Q$15</definedName>
    <definedName name="_xlnm.Print_Area" localSheetId="8">ΣΥΜΜΟΡΦΩΣΗ!$A$1:$Q$24</definedName>
    <definedName name="_xlnm.Print_Area" localSheetId="6">ΥΕΔΔΕ!$A$1:$Q$41</definedName>
    <definedName name="_xlnm.Print_Titles" localSheetId="12">'ΑΝΘΡΩΠΙΝΟ ΔΥΝΑΜΙΚΟ'!$1:$5</definedName>
    <definedName name="_xlnm.Print_Titles" localSheetId="5">ΚΕΦΟΜΕΠ!$1:$6</definedName>
    <definedName name="_xlnm.Print_Titles" localSheetId="13">ΜΗΝΥΤΗΡΙΕΣ!$1:$6</definedName>
  </definedNames>
  <calcPr calcId="152511"/>
</workbook>
</file>

<file path=xl/calcChain.xml><?xml version="1.0" encoding="utf-8"?>
<calcChain xmlns="http://schemas.openxmlformats.org/spreadsheetml/2006/main">
  <c r="P38" i="35" l="1"/>
  <c r="P36" i="35"/>
  <c r="P35" i="35"/>
  <c r="P19" i="35"/>
  <c r="P11" i="35"/>
  <c r="E37" i="35"/>
  <c r="F37" i="35"/>
  <c r="G37" i="35"/>
  <c r="H37" i="35"/>
  <c r="I37" i="35"/>
  <c r="D37" i="35"/>
  <c r="P30" i="35"/>
  <c r="P29" i="35"/>
  <c r="P20" i="35"/>
  <c r="E21" i="35"/>
  <c r="F21" i="35"/>
  <c r="G21" i="35"/>
  <c r="H21" i="35"/>
  <c r="I21" i="35"/>
  <c r="D21" i="35"/>
  <c r="P16" i="35"/>
  <c r="E13" i="35" l="1"/>
  <c r="F13" i="35"/>
  <c r="G13" i="35"/>
  <c r="H13" i="35"/>
  <c r="I13" i="35"/>
  <c r="D13" i="35"/>
  <c r="J22" i="23" l="1"/>
  <c r="J21" i="23"/>
  <c r="J8" i="23" l="1"/>
  <c r="G15" i="15" l="1"/>
  <c r="J17" i="38" l="1"/>
  <c r="I21" i="38"/>
  <c r="J21" i="38"/>
  <c r="I20" i="38"/>
  <c r="J20" i="38"/>
  <c r="I17" i="38"/>
  <c r="I14" i="38"/>
  <c r="J14" i="38"/>
  <c r="I11" i="38"/>
  <c r="J11" i="38"/>
  <c r="D28" i="24" l="1"/>
  <c r="E28" i="24"/>
  <c r="F28" i="24"/>
  <c r="G28" i="24"/>
  <c r="H28" i="24"/>
  <c r="C28" i="24"/>
  <c r="D27" i="24"/>
  <c r="E27" i="24"/>
  <c r="F27" i="24"/>
  <c r="G27" i="24"/>
  <c r="H27" i="24"/>
  <c r="C27" i="24"/>
  <c r="O23" i="24"/>
  <c r="O24" i="24"/>
  <c r="O25" i="24"/>
  <c r="O26" i="24"/>
  <c r="O20" i="24"/>
  <c r="O21" i="24"/>
  <c r="O22" i="24"/>
  <c r="O19" i="24"/>
  <c r="D17" i="24"/>
  <c r="E17" i="24"/>
  <c r="F17" i="24"/>
  <c r="G17" i="24"/>
  <c r="H17" i="24"/>
  <c r="C17" i="24"/>
  <c r="D16" i="24"/>
  <c r="E16" i="24"/>
  <c r="F16" i="24"/>
  <c r="G16" i="24"/>
  <c r="H16" i="24"/>
  <c r="C16" i="24"/>
  <c r="O9" i="24"/>
  <c r="O10" i="24"/>
  <c r="O11" i="24"/>
  <c r="O12" i="24"/>
  <c r="O13" i="24"/>
  <c r="O14" i="24"/>
  <c r="O15" i="24"/>
  <c r="O8" i="24"/>
  <c r="O17" i="24" l="1"/>
  <c r="H29" i="24"/>
  <c r="O27" i="24"/>
  <c r="O28" i="24"/>
  <c r="D29" i="24"/>
  <c r="G29" i="24"/>
  <c r="F29" i="24"/>
  <c r="E29" i="24"/>
  <c r="O16" i="24"/>
  <c r="C29" i="24"/>
  <c r="J21" i="34"/>
  <c r="J23" i="34" s="1"/>
  <c r="I21" i="34"/>
  <c r="I23" i="34" s="1"/>
  <c r="H21" i="34"/>
  <c r="H23" i="34" s="1"/>
  <c r="G21" i="34"/>
  <c r="G23" i="34" s="1"/>
  <c r="F21" i="34"/>
  <c r="F23" i="34" s="1"/>
  <c r="E21" i="34"/>
  <c r="E23" i="34" s="1"/>
  <c r="J12" i="34"/>
  <c r="J14" i="34" s="1"/>
  <c r="I31" i="40"/>
  <c r="H31" i="40"/>
  <c r="G31" i="40"/>
  <c r="F31" i="40"/>
  <c r="Q31" i="40" s="1"/>
  <c r="E31" i="40"/>
  <c r="J30" i="40"/>
  <c r="Q30" i="40" s="1"/>
  <c r="F29" i="40"/>
  <c r="G26" i="40" s="1"/>
  <c r="G29" i="40" s="1"/>
  <c r="H26" i="40" s="1"/>
  <c r="H29" i="40" s="1"/>
  <c r="I26" i="40" s="1"/>
  <c r="I29" i="40" s="1"/>
  <c r="J26" i="40" s="1"/>
  <c r="J29" i="40" s="1"/>
  <c r="E29" i="40"/>
  <c r="J28" i="40"/>
  <c r="Q28" i="40" s="1"/>
  <c r="Q27" i="40"/>
  <c r="F26" i="40"/>
  <c r="Q23" i="40"/>
  <c r="D20" i="40"/>
  <c r="I19" i="40"/>
  <c r="I20" i="40" s="1"/>
  <c r="H19" i="40"/>
  <c r="H20" i="40" s="1"/>
  <c r="F19" i="40"/>
  <c r="F20" i="40" s="1"/>
  <c r="J18" i="40"/>
  <c r="G18" i="40"/>
  <c r="G19" i="40" s="1"/>
  <c r="G20" i="40" s="1"/>
  <c r="F18" i="40"/>
  <c r="E18" i="40"/>
  <c r="Q18" i="40" s="1"/>
  <c r="J17" i="40"/>
  <c r="Q17" i="40" s="1"/>
  <c r="E17" i="40"/>
  <c r="E19" i="40" s="1"/>
  <c r="I16" i="40"/>
  <c r="H16" i="40"/>
  <c r="G16" i="40"/>
  <c r="F16" i="40"/>
  <c r="E16" i="40"/>
  <c r="J15" i="40"/>
  <c r="Q15" i="40" s="1"/>
  <c r="J14" i="40"/>
  <c r="J16" i="40" s="1"/>
  <c r="E13" i="40"/>
  <c r="F9" i="40" s="1"/>
  <c r="F13" i="40" s="1"/>
  <c r="G9" i="40" s="1"/>
  <c r="G13" i="40" s="1"/>
  <c r="H9" i="40" s="1"/>
  <c r="H13" i="40" s="1"/>
  <c r="I9" i="40" s="1"/>
  <c r="I13" i="40" s="1"/>
  <c r="J9" i="40" s="1"/>
  <c r="J13" i="40" s="1"/>
  <c r="Q11" i="40"/>
  <c r="Q10" i="40"/>
  <c r="D68" i="39"/>
  <c r="J67" i="39"/>
  <c r="J68" i="39" s="1"/>
  <c r="I67" i="39"/>
  <c r="I68" i="39" s="1"/>
  <c r="H67" i="39"/>
  <c r="H68" i="39" s="1"/>
  <c r="G67" i="39"/>
  <c r="G68" i="39" s="1"/>
  <c r="F67" i="39"/>
  <c r="F68" i="39" s="1"/>
  <c r="E67" i="39"/>
  <c r="Q67" i="39" s="1"/>
  <c r="Q66" i="39"/>
  <c r="Q65" i="39"/>
  <c r="J64" i="39"/>
  <c r="I64" i="39"/>
  <c r="H64" i="39"/>
  <c r="G64" i="39"/>
  <c r="F64" i="39"/>
  <c r="E64" i="39"/>
  <c r="Q64" i="39" s="1"/>
  <c r="D64" i="39"/>
  <c r="Q63" i="39"/>
  <c r="Q62" i="39"/>
  <c r="J60" i="39"/>
  <c r="H60" i="39"/>
  <c r="Q60" i="39" s="1"/>
  <c r="J59" i="39"/>
  <c r="H59" i="39"/>
  <c r="G59" i="39"/>
  <c r="G10" i="39" s="1"/>
  <c r="G12" i="39" s="1"/>
  <c r="E59" i="39"/>
  <c r="Q59" i="39" s="1"/>
  <c r="Q58" i="39"/>
  <c r="F58" i="39"/>
  <c r="J57" i="39"/>
  <c r="J8" i="39" s="1"/>
  <c r="J12" i="39" s="1"/>
  <c r="I57" i="39"/>
  <c r="I61" i="39" s="1"/>
  <c r="H57" i="39"/>
  <c r="H61" i="39" s="1"/>
  <c r="G57" i="39"/>
  <c r="G61" i="39" s="1"/>
  <c r="F57" i="39"/>
  <c r="F8" i="39" s="1"/>
  <c r="F12" i="39" s="1"/>
  <c r="E57" i="39"/>
  <c r="E61" i="39" s="1"/>
  <c r="I51" i="39"/>
  <c r="E51" i="39"/>
  <c r="C51" i="39"/>
  <c r="J50" i="39"/>
  <c r="J51" i="39" s="1"/>
  <c r="I50" i="39"/>
  <c r="H50" i="39"/>
  <c r="H51" i="39" s="1"/>
  <c r="G50" i="39"/>
  <c r="F50" i="39"/>
  <c r="F51" i="39" s="1"/>
  <c r="E50" i="39"/>
  <c r="Q50" i="39" s="1"/>
  <c r="Q51" i="39" s="1"/>
  <c r="D50" i="39"/>
  <c r="D51" i="39" s="1"/>
  <c r="Q49" i="39"/>
  <c r="Q48" i="39"/>
  <c r="J47" i="39"/>
  <c r="I47" i="39"/>
  <c r="H47" i="39"/>
  <c r="G47" i="39"/>
  <c r="G51" i="39" s="1"/>
  <c r="F47" i="39"/>
  <c r="E47" i="39"/>
  <c r="Q47" i="39" s="1"/>
  <c r="D47" i="39"/>
  <c r="D15" i="39" s="1"/>
  <c r="Q46" i="39"/>
  <c r="Q45" i="39"/>
  <c r="J44" i="39"/>
  <c r="I44" i="39"/>
  <c r="H44" i="39"/>
  <c r="G44" i="39"/>
  <c r="F44" i="39"/>
  <c r="Q43" i="39"/>
  <c r="Q42" i="39"/>
  <c r="E41" i="39"/>
  <c r="E9" i="39" s="1"/>
  <c r="Q9" i="39" s="1"/>
  <c r="Q30" i="39"/>
  <c r="Q29" i="39"/>
  <c r="J28" i="39"/>
  <c r="I28" i="39"/>
  <c r="H28" i="39"/>
  <c r="G28" i="39"/>
  <c r="F28" i="39"/>
  <c r="E28" i="39"/>
  <c r="Q27" i="39"/>
  <c r="Q26" i="39"/>
  <c r="Q22" i="39"/>
  <c r="J18" i="39"/>
  <c r="F18" i="39"/>
  <c r="D18" i="39"/>
  <c r="C18" i="39"/>
  <c r="J17" i="39"/>
  <c r="I17" i="39"/>
  <c r="H17" i="39"/>
  <c r="G17" i="39"/>
  <c r="Q17" i="39" s="1"/>
  <c r="F17" i="39"/>
  <c r="E17" i="39"/>
  <c r="D17" i="39"/>
  <c r="J16" i="39"/>
  <c r="I16" i="39"/>
  <c r="I18" i="39" s="1"/>
  <c r="H16" i="39"/>
  <c r="H18" i="39" s="1"/>
  <c r="G16" i="39"/>
  <c r="Q16" i="39" s="1"/>
  <c r="F16" i="39"/>
  <c r="E16" i="39"/>
  <c r="E18" i="39" s="1"/>
  <c r="D16" i="39"/>
  <c r="G15" i="39"/>
  <c r="C15" i="39"/>
  <c r="J14" i="39"/>
  <c r="I14" i="39"/>
  <c r="H14" i="39"/>
  <c r="G14" i="39"/>
  <c r="F14" i="39"/>
  <c r="E14" i="39"/>
  <c r="Q14" i="39" s="1"/>
  <c r="D14" i="39"/>
  <c r="J13" i="39"/>
  <c r="J15" i="39" s="1"/>
  <c r="I13" i="39"/>
  <c r="I15" i="39" s="1"/>
  <c r="H13" i="39"/>
  <c r="H15" i="39" s="1"/>
  <c r="G13" i="39"/>
  <c r="F13" i="39"/>
  <c r="F15" i="39" s="1"/>
  <c r="E13" i="39"/>
  <c r="Q13" i="39" s="1"/>
  <c r="D13" i="39"/>
  <c r="J11" i="39"/>
  <c r="I11" i="39"/>
  <c r="G11" i="39"/>
  <c r="F11" i="39"/>
  <c r="E11" i="39"/>
  <c r="J10" i="39"/>
  <c r="I10" i="39"/>
  <c r="H10" i="39"/>
  <c r="F10" i="39"/>
  <c r="E10" i="39"/>
  <c r="Q10" i="39" s="1"/>
  <c r="D10" i="39"/>
  <c r="C10" i="39"/>
  <c r="J9" i="39"/>
  <c r="I9" i="39"/>
  <c r="H9" i="39"/>
  <c r="G9" i="39"/>
  <c r="F9" i="39"/>
  <c r="I8" i="39"/>
  <c r="I12" i="39" s="1"/>
  <c r="H8" i="39"/>
  <c r="H12" i="39" s="1"/>
  <c r="G8" i="39"/>
  <c r="E8" i="39"/>
  <c r="E12" i="39" s="1"/>
  <c r="O29" i="24" l="1"/>
  <c r="E20" i="40"/>
  <c r="Q16" i="40"/>
  <c r="J19" i="40"/>
  <c r="J20" i="40" s="1"/>
  <c r="Q14" i="40"/>
  <c r="Q68" i="39"/>
  <c r="H19" i="39"/>
  <c r="F19" i="39"/>
  <c r="I19" i="39"/>
  <c r="J19" i="39"/>
  <c r="J61" i="39"/>
  <c r="G18" i="39"/>
  <c r="G19" i="39" s="1"/>
  <c r="Q41" i="39"/>
  <c r="E68" i="39"/>
  <c r="E44" i="39"/>
  <c r="H11" i="39"/>
  <c r="Q11" i="39" s="1"/>
  <c r="E15" i="39"/>
  <c r="Q15" i="39" s="1"/>
  <c r="F61" i="39"/>
  <c r="H21" i="38"/>
  <c r="G21" i="38"/>
  <c r="F21" i="38"/>
  <c r="E21" i="38"/>
  <c r="D21" i="38"/>
  <c r="C21" i="38"/>
  <c r="B21" i="38"/>
  <c r="H20" i="38"/>
  <c r="G20" i="38"/>
  <c r="F20" i="38"/>
  <c r="E20" i="38"/>
  <c r="D20" i="38"/>
  <c r="C20" i="38"/>
  <c r="Q19" i="38"/>
  <c r="Q18" i="38"/>
  <c r="H17" i="38"/>
  <c r="G17" i="38"/>
  <c r="F17" i="38"/>
  <c r="E17" i="38"/>
  <c r="D17" i="38"/>
  <c r="C17" i="38"/>
  <c r="B17" i="38"/>
  <c r="Q16" i="38"/>
  <c r="Q15" i="38"/>
  <c r="H14" i="38"/>
  <c r="G14" i="38"/>
  <c r="F14" i="38"/>
  <c r="E14" i="38"/>
  <c r="D14" i="38"/>
  <c r="C14" i="38"/>
  <c r="B14" i="38"/>
  <c r="Q13" i="38"/>
  <c r="Q12" i="38"/>
  <c r="H11" i="38"/>
  <c r="G11" i="38"/>
  <c r="F11" i="38"/>
  <c r="E11" i="38"/>
  <c r="D11" i="38"/>
  <c r="C11" i="38"/>
  <c r="B11" i="38"/>
  <c r="Q10" i="38"/>
  <c r="Q9" i="38"/>
  <c r="Q20" i="38" l="1"/>
  <c r="Q19" i="40"/>
  <c r="Q20" i="40" s="1"/>
  <c r="Q18" i="39"/>
  <c r="Q19" i="39" s="1"/>
  <c r="E19" i="39"/>
  <c r="Q11" i="38"/>
  <c r="Q17" i="38"/>
  <c r="Q21" i="38"/>
  <c r="Q14" i="38"/>
  <c r="D26" i="35" l="1"/>
  <c r="P14" i="35"/>
  <c r="J45" i="34" l="1"/>
  <c r="G32" i="34" l="1"/>
  <c r="J30" i="34"/>
  <c r="J32" i="34" s="1"/>
  <c r="I30" i="34"/>
  <c r="I32" i="34" s="1"/>
  <c r="H30" i="34"/>
  <c r="H32" i="34" s="1"/>
  <c r="F30" i="34"/>
  <c r="F32" i="34" s="1"/>
  <c r="E30" i="34"/>
  <c r="E32" i="34" s="1"/>
  <c r="K32" i="37" l="1"/>
  <c r="G32" i="37"/>
  <c r="L32" i="37" s="1"/>
  <c r="M32" i="37" s="1"/>
  <c r="K31" i="37"/>
  <c r="G31" i="37"/>
  <c r="J28" i="37"/>
  <c r="I28" i="37"/>
  <c r="H28" i="37"/>
  <c r="F28" i="37"/>
  <c r="E28" i="37"/>
  <c r="C28" i="37"/>
  <c r="H27" i="37"/>
  <c r="D27" i="37"/>
  <c r="K26" i="37"/>
  <c r="J26" i="37"/>
  <c r="I26" i="37"/>
  <c r="H26" i="37"/>
  <c r="F26" i="37"/>
  <c r="E26" i="37"/>
  <c r="K19" i="37"/>
  <c r="G19" i="37"/>
  <c r="L19" i="37" s="1"/>
  <c r="M19" i="37" s="1"/>
  <c r="E19" i="37"/>
  <c r="D19" i="37"/>
  <c r="L18" i="37"/>
  <c r="M18" i="37" s="1"/>
  <c r="K18" i="37"/>
  <c r="G18" i="37"/>
  <c r="K17" i="37"/>
  <c r="K28" i="37" s="1"/>
  <c r="D17" i="37"/>
  <c r="D28" i="37" s="1"/>
  <c r="J16" i="37"/>
  <c r="I16" i="37"/>
  <c r="H16" i="37"/>
  <c r="F16" i="37"/>
  <c r="E16" i="37"/>
  <c r="D16" i="37"/>
  <c r="C16" i="37"/>
  <c r="C23" i="37" s="1"/>
  <c r="L14" i="37"/>
  <c r="M14" i="37" s="1"/>
  <c r="K14" i="37"/>
  <c r="G14" i="37"/>
  <c r="L13" i="37"/>
  <c r="M13" i="37" s="1"/>
  <c r="K13" i="37"/>
  <c r="G13" i="37"/>
  <c r="L12" i="37"/>
  <c r="M12" i="37" s="1"/>
  <c r="K12" i="37"/>
  <c r="G12" i="37"/>
  <c r="K11" i="37"/>
  <c r="D11" i="37"/>
  <c r="D25" i="37" s="1"/>
  <c r="C11" i="37"/>
  <c r="J10" i="37"/>
  <c r="J27" i="37" s="1"/>
  <c r="I10" i="37"/>
  <c r="I25" i="37" s="1"/>
  <c r="H10" i="37"/>
  <c r="H25" i="37" s="1"/>
  <c r="F10" i="37"/>
  <c r="F27" i="37" s="1"/>
  <c r="E10" i="37"/>
  <c r="E25" i="37" s="1"/>
  <c r="D10" i="37"/>
  <c r="M8" i="37"/>
  <c r="L8" i="37"/>
  <c r="K8" i="37"/>
  <c r="G8" i="37"/>
  <c r="M7" i="37"/>
  <c r="L7" i="37"/>
  <c r="K7" i="37"/>
  <c r="G7" i="37"/>
  <c r="M6" i="37"/>
  <c r="L6" i="37"/>
  <c r="K6" i="37"/>
  <c r="J6" i="37"/>
  <c r="I6" i="37"/>
  <c r="H6" i="37"/>
  <c r="G6" i="37"/>
  <c r="F6" i="37"/>
  <c r="E6" i="37"/>
  <c r="D6" i="37"/>
  <c r="C6" i="37"/>
  <c r="M4" i="37"/>
  <c r="M3" i="37"/>
  <c r="BB35" i="36"/>
  <c r="AX35" i="36"/>
  <c r="BC35" i="36" s="1"/>
  <c r="AS35" i="36"/>
  <c r="AN35" i="36"/>
  <c r="AG35" i="36"/>
  <c r="AF35" i="36"/>
  <c r="AI35" i="36" s="1"/>
  <c r="AD35" i="36"/>
  <c r="AC35" i="36"/>
  <c r="AB35" i="36"/>
  <c r="AE35" i="36" s="1"/>
  <c r="Y35" i="36"/>
  <c r="X35" i="36"/>
  <c r="W35" i="36"/>
  <c r="Z35" i="36" s="1"/>
  <c r="T35" i="36"/>
  <c r="U35" i="36" s="1"/>
  <c r="P35" i="36"/>
  <c r="L35" i="36"/>
  <c r="H35" i="36"/>
  <c r="G35" i="36"/>
  <c r="BB34" i="36"/>
  <c r="BA34" i="36"/>
  <c r="AX34" i="36"/>
  <c r="AS34" i="36"/>
  <c r="AN34" i="36"/>
  <c r="AI34" i="36"/>
  <c r="AG34" i="36"/>
  <c r="AF34" i="36"/>
  <c r="AD34" i="36"/>
  <c r="AC34" i="36"/>
  <c r="AB34" i="36"/>
  <c r="Z34" i="36"/>
  <c r="Y34" i="36"/>
  <c r="X34" i="36"/>
  <c r="W34" i="36"/>
  <c r="V34" i="36"/>
  <c r="U34" i="36"/>
  <c r="T34" i="36"/>
  <c r="P34" i="36"/>
  <c r="M34" i="36"/>
  <c r="L34" i="36"/>
  <c r="H34" i="36"/>
  <c r="G34" i="36"/>
  <c r="BB33" i="36"/>
  <c r="BA31" i="36"/>
  <c r="AZ31" i="36"/>
  <c r="AY31" i="36"/>
  <c r="AH31" i="36"/>
  <c r="R31" i="36"/>
  <c r="D31" i="36"/>
  <c r="C31" i="36"/>
  <c r="AV30" i="36"/>
  <c r="AL29" i="36"/>
  <c r="C29" i="36"/>
  <c r="AV28" i="36"/>
  <c r="BB22" i="36"/>
  <c r="AW22" i="36"/>
  <c r="AV22" i="36"/>
  <c r="AU22" i="36"/>
  <c r="AX22" i="36" s="1"/>
  <c r="BC22" i="36" s="1"/>
  <c r="AR22" i="36"/>
  <c r="AQ22" i="36"/>
  <c r="AP22" i="36"/>
  <c r="AS22" i="36" s="1"/>
  <c r="AN22" i="36"/>
  <c r="AM22" i="36"/>
  <c r="AL22" i="36"/>
  <c r="AK22" i="36"/>
  <c r="AJ22" i="36"/>
  <c r="AH22" i="36"/>
  <c r="AG22" i="36"/>
  <c r="AF22" i="36"/>
  <c r="AI22" i="36" s="1"/>
  <c r="AD22" i="36"/>
  <c r="AC22" i="36"/>
  <c r="AB22" i="36"/>
  <c r="Y22" i="36"/>
  <c r="X22" i="36"/>
  <c r="Z22" i="36" s="1"/>
  <c r="W22" i="36"/>
  <c r="T22" i="36"/>
  <c r="S22" i="36"/>
  <c r="R22" i="36"/>
  <c r="U22" i="36" s="1"/>
  <c r="P22" i="36"/>
  <c r="O22" i="36"/>
  <c r="N22" i="36"/>
  <c r="M22" i="36"/>
  <c r="L22" i="36"/>
  <c r="K22" i="36"/>
  <c r="J22" i="36"/>
  <c r="I22" i="36"/>
  <c r="AA22" i="36" s="1"/>
  <c r="H22" i="36"/>
  <c r="G22" i="36"/>
  <c r="BB21" i="36"/>
  <c r="BB19" i="36" s="1"/>
  <c r="AW21" i="36"/>
  <c r="AV21" i="36"/>
  <c r="AU21" i="36"/>
  <c r="AR21" i="36"/>
  <c r="AQ21" i="36"/>
  <c r="AQ19" i="36" s="1"/>
  <c r="AP21" i="36"/>
  <c r="AM21" i="36"/>
  <c r="AM19" i="36" s="1"/>
  <c r="AL21" i="36"/>
  <c r="AK21" i="36"/>
  <c r="AN21" i="36" s="1"/>
  <c r="AN19" i="36" s="1"/>
  <c r="AI21" i="36"/>
  <c r="AH21" i="36"/>
  <c r="AG21" i="36"/>
  <c r="AF21" i="36"/>
  <c r="AE21" i="36"/>
  <c r="AD21" i="36"/>
  <c r="AC21" i="36"/>
  <c r="AB21" i="36"/>
  <c r="AT21" i="36" s="1"/>
  <c r="Y21" i="36"/>
  <c r="X21" i="36"/>
  <c r="W21" i="36"/>
  <c r="T21" i="36"/>
  <c r="S21" i="36"/>
  <c r="S19" i="36" s="1"/>
  <c r="R21" i="36"/>
  <c r="U21" i="36" s="1"/>
  <c r="O21" i="36"/>
  <c r="N21" i="36"/>
  <c r="N31" i="36" s="1"/>
  <c r="M21" i="36"/>
  <c r="K21" i="36"/>
  <c r="K19" i="36" s="1"/>
  <c r="J21" i="36"/>
  <c r="I21" i="36"/>
  <c r="G21" i="36"/>
  <c r="G19" i="36" s="1"/>
  <c r="F21" i="36"/>
  <c r="F31" i="36" s="1"/>
  <c r="E21" i="36"/>
  <c r="E31" i="36" s="1"/>
  <c r="BB20" i="36"/>
  <c r="AW20" i="36"/>
  <c r="AW31" i="36" s="1"/>
  <c r="AV20" i="36"/>
  <c r="AU20" i="36"/>
  <c r="AR20" i="36"/>
  <c r="AR31" i="36" s="1"/>
  <c r="AQ20" i="36"/>
  <c r="AP20" i="36"/>
  <c r="AP31" i="36" s="1"/>
  <c r="AN20" i="36"/>
  <c r="AM20" i="36"/>
  <c r="AL20" i="36"/>
  <c r="AL31" i="36" s="1"/>
  <c r="AK20" i="36"/>
  <c r="AK31" i="36" s="1"/>
  <c r="AH20" i="36"/>
  <c r="AG20" i="36"/>
  <c r="AG31" i="36" s="1"/>
  <c r="AF20" i="36"/>
  <c r="AD20" i="36"/>
  <c r="AD31" i="36" s="1"/>
  <c r="AC20" i="36"/>
  <c r="AC31" i="36" s="1"/>
  <c r="AB20" i="36"/>
  <c r="Y20" i="36"/>
  <c r="Y31" i="36" s="1"/>
  <c r="X20" i="36"/>
  <c r="W20" i="36"/>
  <c r="T20" i="36"/>
  <c r="S20" i="36"/>
  <c r="R20" i="36"/>
  <c r="P20" i="36"/>
  <c r="M20" i="36"/>
  <c r="M31" i="36" s="1"/>
  <c r="K20" i="36"/>
  <c r="J20" i="36"/>
  <c r="I20" i="36"/>
  <c r="I31" i="36" s="1"/>
  <c r="H20" i="36"/>
  <c r="G20" i="36"/>
  <c r="BA19" i="36"/>
  <c r="AZ19" i="36"/>
  <c r="AY19" i="36"/>
  <c r="AW19" i="36"/>
  <c r="AR19" i="36"/>
  <c r="AP19" i="36"/>
  <c r="AL19" i="36"/>
  <c r="AK19" i="36"/>
  <c r="AH19" i="36"/>
  <c r="AG19" i="36"/>
  <c r="AD19" i="36"/>
  <c r="AC19" i="36"/>
  <c r="AB19" i="36"/>
  <c r="Y19" i="36"/>
  <c r="X19" i="36"/>
  <c r="T19" i="36"/>
  <c r="R19" i="36"/>
  <c r="N19" i="36"/>
  <c r="M19" i="36"/>
  <c r="I19" i="36"/>
  <c r="F19" i="36"/>
  <c r="E19" i="36"/>
  <c r="D19" i="36"/>
  <c r="C19" i="36"/>
  <c r="C26" i="36" s="1"/>
  <c r="BB17" i="36"/>
  <c r="AX17" i="36"/>
  <c r="AP17" i="36"/>
  <c r="AO17" i="36"/>
  <c r="AN17" i="36"/>
  <c r="AM17" i="36"/>
  <c r="AT17" i="36" s="1"/>
  <c r="BB16" i="36"/>
  <c r="BC16" i="36" s="1"/>
  <c r="AX16" i="36"/>
  <c r="AT16" i="36"/>
  <c r="AS16" i="36"/>
  <c r="AO16" i="36"/>
  <c r="AN16" i="36"/>
  <c r="BB15" i="36"/>
  <c r="AY15" i="36"/>
  <c r="AX15" i="36"/>
  <c r="AW15" i="36"/>
  <c r="AV15" i="36"/>
  <c r="AU15" i="36"/>
  <c r="AR15" i="36"/>
  <c r="AQ15" i="36"/>
  <c r="AP15" i="36"/>
  <c r="AN15" i="36"/>
  <c r="AO15" i="36" s="1"/>
  <c r="AM15" i="36"/>
  <c r="AL15" i="36"/>
  <c r="BB14" i="36"/>
  <c r="AX14" i="36"/>
  <c r="BC14" i="36" s="1"/>
  <c r="AR14" i="36"/>
  <c r="AQ14" i="36"/>
  <c r="AS14" i="36" s="1"/>
  <c r="AP14" i="36"/>
  <c r="AM14" i="36"/>
  <c r="AK14" i="36"/>
  <c r="AH14" i="36"/>
  <c r="AG14" i="36"/>
  <c r="AF14" i="36"/>
  <c r="AI14" i="36" s="1"/>
  <c r="AD14" i="36"/>
  <c r="AC14" i="36"/>
  <c r="AB14" i="36"/>
  <c r="AT14" i="36" s="1"/>
  <c r="Z14" i="36"/>
  <c r="Y14" i="36"/>
  <c r="X14" i="36"/>
  <c r="W14" i="36"/>
  <c r="V14" i="36"/>
  <c r="T14" i="36"/>
  <c r="U14" i="36" s="1"/>
  <c r="R14" i="36"/>
  <c r="Q14" i="36"/>
  <c r="O14" i="36"/>
  <c r="N14" i="36"/>
  <c r="M14" i="36"/>
  <c r="P14" i="36" s="1"/>
  <c r="K14" i="36"/>
  <c r="L14" i="36" s="1"/>
  <c r="J14" i="36"/>
  <c r="AA14" i="36" s="1"/>
  <c r="H14" i="36"/>
  <c r="G14" i="36"/>
  <c r="BB13" i="36"/>
  <c r="BC13" i="36" s="1"/>
  <c r="BD13" i="36" s="1"/>
  <c r="AX13" i="36"/>
  <c r="BB12" i="36"/>
  <c r="AW12" i="36"/>
  <c r="AX12" i="36" s="1"/>
  <c r="AV12" i="36"/>
  <c r="AR12" i="36"/>
  <c r="AP12" i="36"/>
  <c r="AM12" i="36"/>
  <c r="AL12" i="36"/>
  <c r="AK12" i="36"/>
  <c r="AH12" i="36"/>
  <c r="AG12" i="36"/>
  <c r="AF12" i="36"/>
  <c r="AI12" i="36" s="1"/>
  <c r="AD12" i="36"/>
  <c r="AC12" i="36"/>
  <c r="AB12" i="36"/>
  <c r="AO12" i="36" s="1"/>
  <c r="Z12" i="36"/>
  <c r="Y12" i="36"/>
  <c r="X12" i="36"/>
  <c r="W12" i="36"/>
  <c r="T12" i="36"/>
  <c r="S12" i="36"/>
  <c r="R12" i="36"/>
  <c r="O12" i="36"/>
  <c r="N12" i="36"/>
  <c r="P12" i="36" s="1"/>
  <c r="M12" i="36"/>
  <c r="K12" i="36"/>
  <c r="J12" i="36"/>
  <c r="L12" i="36" s="1"/>
  <c r="I12" i="36"/>
  <c r="F12" i="36"/>
  <c r="F10" i="36" s="1"/>
  <c r="E12" i="36"/>
  <c r="D12" i="36"/>
  <c r="BA11" i="36"/>
  <c r="AZ11" i="36"/>
  <c r="AZ29" i="36" s="1"/>
  <c r="AY11" i="36"/>
  <c r="AW11" i="36"/>
  <c r="AV11" i="36"/>
  <c r="AV29" i="36" s="1"/>
  <c r="AU11" i="36"/>
  <c r="AX11" i="36" s="1"/>
  <c r="AS11" i="36"/>
  <c r="AR11" i="36"/>
  <c r="AQ11" i="36"/>
  <c r="AP11" i="36"/>
  <c r="AM11" i="36"/>
  <c r="AL11" i="36"/>
  <c r="AK11" i="36"/>
  <c r="AK10" i="36" s="1"/>
  <c r="AH11" i="36"/>
  <c r="AG11" i="36"/>
  <c r="AF11" i="36"/>
  <c r="AF29" i="36" s="1"/>
  <c r="AD11" i="36"/>
  <c r="AC11" i="36"/>
  <c r="AB11" i="36"/>
  <c r="AE11" i="36" s="1"/>
  <c r="Y11" i="36"/>
  <c r="X11" i="36"/>
  <c r="W11" i="36"/>
  <c r="U11" i="36"/>
  <c r="T11" i="36"/>
  <c r="S11" i="36"/>
  <c r="R11" i="36"/>
  <c r="O11" i="36"/>
  <c r="N11" i="36"/>
  <c r="M11" i="36"/>
  <c r="K11" i="36"/>
  <c r="J11" i="36"/>
  <c r="I11" i="36"/>
  <c r="F11" i="36"/>
  <c r="E11" i="36"/>
  <c r="BA10" i="36"/>
  <c r="BA28" i="36" s="1"/>
  <c r="AZ10" i="36"/>
  <c r="AZ28" i="36" s="1"/>
  <c r="AY10" i="36"/>
  <c r="AY28" i="36" s="1"/>
  <c r="AW10" i="36"/>
  <c r="AW28" i="36" s="1"/>
  <c r="AV10" i="36"/>
  <c r="AU10" i="36"/>
  <c r="AU28" i="36" s="1"/>
  <c r="AR10" i="36"/>
  <c r="AM10" i="36"/>
  <c r="AL10" i="36"/>
  <c r="AH10" i="36"/>
  <c r="AG10" i="36"/>
  <c r="AF10" i="36"/>
  <c r="AD10" i="36"/>
  <c r="AC10" i="36"/>
  <c r="AB10" i="36"/>
  <c r="X10" i="36"/>
  <c r="W10" i="36"/>
  <c r="T10" i="36"/>
  <c r="S10" i="36"/>
  <c r="O10" i="36"/>
  <c r="N10" i="36"/>
  <c r="M10" i="36"/>
  <c r="K10" i="36"/>
  <c r="J10" i="36"/>
  <c r="E10" i="36"/>
  <c r="D10" i="36"/>
  <c r="D30" i="36" s="1"/>
  <c r="C10" i="36"/>
  <c r="BB8" i="36"/>
  <c r="AW8" i="36"/>
  <c r="AV8" i="36"/>
  <c r="AV6" i="36" s="1"/>
  <c r="AU8" i="36"/>
  <c r="AR8" i="36"/>
  <c r="AQ8" i="36"/>
  <c r="AP8" i="36"/>
  <c r="AS8" i="36" s="1"/>
  <c r="AN8" i="36"/>
  <c r="AM8" i="36"/>
  <c r="AL8" i="36"/>
  <c r="AK8" i="36"/>
  <c r="AH8" i="36"/>
  <c r="AG8" i="36"/>
  <c r="AF8" i="36"/>
  <c r="AI8" i="36" s="1"/>
  <c r="AD8" i="36"/>
  <c r="AC8" i="36"/>
  <c r="AB8" i="36"/>
  <c r="Y8" i="36"/>
  <c r="X8" i="36"/>
  <c r="W8" i="36"/>
  <c r="Z8" i="36" s="1"/>
  <c r="T8" i="36"/>
  <c r="T6" i="36" s="1"/>
  <c r="S8" i="36"/>
  <c r="R8" i="36"/>
  <c r="P8" i="36"/>
  <c r="O8" i="36"/>
  <c r="N8" i="36"/>
  <c r="M8" i="36"/>
  <c r="L8" i="36"/>
  <c r="K8" i="36"/>
  <c r="AA8" i="36" s="1"/>
  <c r="J8" i="36"/>
  <c r="V8" i="36" s="1"/>
  <c r="I8" i="36"/>
  <c r="Q8" i="36" s="1"/>
  <c r="H8" i="36"/>
  <c r="F8" i="36"/>
  <c r="E8" i="36"/>
  <c r="D8" i="36"/>
  <c r="G8" i="36" s="1"/>
  <c r="BB7" i="36"/>
  <c r="AX7" i="36"/>
  <c r="AR7" i="36"/>
  <c r="AQ7" i="36"/>
  <c r="AQ6" i="36" s="1"/>
  <c r="AP7" i="36"/>
  <c r="AS7" i="36" s="1"/>
  <c r="AM7" i="36"/>
  <c r="AM6" i="36" s="1"/>
  <c r="AL7" i="36"/>
  <c r="AK7" i="36"/>
  <c r="AI7" i="36"/>
  <c r="AH7" i="36"/>
  <c r="AG7" i="36"/>
  <c r="AF7" i="36"/>
  <c r="AE7" i="36"/>
  <c r="AD7" i="36"/>
  <c r="AC7" i="36"/>
  <c r="AT7" i="36" s="1"/>
  <c r="AB7" i="36"/>
  <c r="AJ7" i="36" s="1"/>
  <c r="Y7" i="36"/>
  <c r="X7" i="36"/>
  <c r="W7" i="36"/>
  <c r="T7" i="36"/>
  <c r="S7" i="36"/>
  <c r="S6" i="36" s="1"/>
  <c r="R7" i="36"/>
  <c r="U7" i="36" s="1"/>
  <c r="O7" i="36"/>
  <c r="O6" i="36" s="1"/>
  <c r="N7" i="36"/>
  <c r="M7" i="36"/>
  <c r="P7" i="36" s="1"/>
  <c r="K7" i="36"/>
  <c r="K6" i="36" s="1"/>
  <c r="J7" i="36"/>
  <c r="I7" i="36"/>
  <c r="G7" i="36"/>
  <c r="G6" i="36" s="1"/>
  <c r="F7" i="36"/>
  <c r="E7" i="36"/>
  <c r="D7" i="36"/>
  <c r="H7" i="36" s="1"/>
  <c r="H6" i="36" s="1"/>
  <c r="BB6" i="36"/>
  <c r="BA6" i="36"/>
  <c r="AZ6" i="36"/>
  <c r="AY6" i="36"/>
  <c r="AW6" i="36"/>
  <c r="AU6" i="36"/>
  <c r="AR6" i="36"/>
  <c r="AP6" i="36"/>
  <c r="AL6" i="36"/>
  <c r="AK6" i="36"/>
  <c r="AH6" i="36"/>
  <c r="AG6" i="36"/>
  <c r="AD6" i="36"/>
  <c r="AC6" i="36"/>
  <c r="AB6" i="36"/>
  <c r="Y6" i="36"/>
  <c r="X6" i="36"/>
  <c r="R6" i="36"/>
  <c r="P6" i="36"/>
  <c r="N6" i="36"/>
  <c r="M6" i="36"/>
  <c r="J6" i="36"/>
  <c r="I6" i="36"/>
  <c r="F6" i="36"/>
  <c r="E6" i="36"/>
  <c r="D6" i="36"/>
  <c r="C6" i="36"/>
  <c r="BD4" i="36"/>
  <c r="H4" i="36"/>
  <c r="D4" i="36"/>
  <c r="G4" i="36" s="1"/>
  <c r="G26" i="36" s="1"/>
  <c r="BD3" i="36"/>
  <c r="H3" i="36"/>
  <c r="H2" i="36"/>
  <c r="C2" i="36"/>
  <c r="BD2" i="36" s="1"/>
  <c r="G4" i="37" l="1"/>
  <c r="L4" i="37"/>
  <c r="D4" i="37"/>
  <c r="D23" i="37" s="1"/>
  <c r="E4" i="37" s="1"/>
  <c r="E23" i="37" s="1"/>
  <c r="F4" i="37" s="1"/>
  <c r="F23" i="37" s="1"/>
  <c r="F25" i="37"/>
  <c r="M2" i="37"/>
  <c r="C10" i="37"/>
  <c r="K10" i="37"/>
  <c r="K27" i="37" s="1"/>
  <c r="C25" i="37"/>
  <c r="D26" i="37"/>
  <c r="E27" i="37"/>
  <c r="I27" i="37"/>
  <c r="J25" i="37"/>
  <c r="C26" i="37"/>
  <c r="G11" i="37"/>
  <c r="K16" i="37"/>
  <c r="G17" i="37"/>
  <c r="L31" i="37"/>
  <c r="I29" i="36"/>
  <c r="I30" i="36"/>
  <c r="L11" i="36"/>
  <c r="AA11" i="36"/>
  <c r="V11" i="36"/>
  <c r="AF31" i="36"/>
  <c r="AI20" i="36"/>
  <c r="AJ20" i="36"/>
  <c r="AF19" i="36"/>
  <c r="AF6" i="36"/>
  <c r="BC7" i="36"/>
  <c r="BD8" i="36"/>
  <c r="AE8" i="36"/>
  <c r="AT8" i="36"/>
  <c r="AO8" i="36"/>
  <c r="Y29" i="36"/>
  <c r="BA29" i="36"/>
  <c r="BA30" i="36"/>
  <c r="AS15" i="36"/>
  <c r="AT15" i="36" s="1"/>
  <c r="AP10" i="36"/>
  <c r="V7" i="36"/>
  <c r="V6" i="36" s="1"/>
  <c r="AA7" i="36"/>
  <c r="AE6" i="36"/>
  <c r="AI6" i="36"/>
  <c r="AS6" i="36"/>
  <c r="E29" i="36"/>
  <c r="E30" i="36"/>
  <c r="E28" i="36"/>
  <c r="H11" i="36"/>
  <c r="G11" i="36"/>
  <c r="Q11" i="36"/>
  <c r="U30" i="36"/>
  <c r="AE29" i="36"/>
  <c r="AG29" i="36"/>
  <c r="AG30" i="36"/>
  <c r="AG28" i="36"/>
  <c r="AW29" i="36"/>
  <c r="AW30" i="36"/>
  <c r="H12" i="36"/>
  <c r="O31" i="36"/>
  <c r="O19" i="36"/>
  <c r="Z21" i="36"/>
  <c r="W19" i="36"/>
  <c r="AT6" i="36"/>
  <c r="AK29" i="36"/>
  <c r="AK30" i="36"/>
  <c r="AK28" i="36"/>
  <c r="AN11" i="36"/>
  <c r="AX29" i="36"/>
  <c r="AX10" i="36"/>
  <c r="AX28" i="36" s="1"/>
  <c r="Z7" i="36"/>
  <c r="Z6" i="36" s="1"/>
  <c r="W6" i="36"/>
  <c r="AN7" i="36"/>
  <c r="AN6" i="36" s="1"/>
  <c r="U8" i="36"/>
  <c r="U6" i="36" s="1"/>
  <c r="AJ8" i="36"/>
  <c r="AJ6" i="36" s="1"/>
  <c r="AX8" i="36"/>
  <c r="BC8" i="36" s="1"/>
  <c r="I10" i="36"/>
  <c r="I28" i="36" s="1"/>
  <c r="Y10" i="36"/>
  <c r="Y30" i="36" s="1"/>
  <c r="M29" i="36"/>
  <c r="M30" i="36"/>
  <c r="M28" i="36"/>
  <c r="P11" i="36"/>
  <c r="Z11" i="36"/>
  <c r="AC29" i="36"/>
  <c r="AC30" i="36"/>
  <c r="AC28" i="36"/>
  <c r="AO11" i="36"/>
  <c r="U12" i="36"/>
  <c r="U10" i="36" s="1"/>
  <c r="R10" i="36"/>
  <c r="R30" i="36" s="1"/>
  <c r="BD16" i="36"/>
  <c r="BD15" i="36" s="1"/>
  <c r="AV31" i="36"/>
  <c r="AX20" i="36"/>
  <c r="AV19" i="36"/>
  <c r="L7" i="36"/>
  <c r="L6" i="36" s="1"/>
  <c r="F30" i="36"/>
  <c r="F28" i="36"/>
  <c r="J30" i="36"/>
  <c r="J28" i="36"/>
  <c r="J29" i="36"/>
  <c r="N30" i="36"/>
  <c r="N28" i="36"/>
  <c r="N29" i="36"/>
  <c r="R28" i="36"/>
  <c r="R29" i="36"/>
  <c r="AD30" i="36"/>
  <c r="AD28" i="36"/>
  <c r="AD29" i="36"/>
  <c r="AH30" i="36"/>
  <c r="AH28" i="36"/>
  <c r="AH29" i="36"/>
  <c r="AL30" i="36"/>
  <c r="AL28" i="36"/>
  <c r="AP30" i="36"/>
  <c r="AP28" i="36"/>
  <c r="AP29" i="36"/>
  <c r="AT11" i="36"/>
  <c r="AS12" i="36"/>
  <c r="AS10" i="36" s="1"/>
  <c r="AS30" i="36" s="1"/>
  <c r="BC12" i="36"/>
  <c r="AS17" i="36"/>
  <c r="AS28" i="36" s="1"/>
  <c r="AQ12" i="36"/>
  <c r="AQ10" i="36" s="1"/>
  <c r="T31" i="36"/>
  <c r="U20" i="36"/>
  <c r="AB31" i="36"/>
  <c r="AE20" i="36"/>
  <c r="AT20" i="36"/>
  <c r="AO20" i="36"/>
  <c r="BB31" i="36"/>
  <c r="BC34" i="36"/>
  <c r="BD35" i="36"/>
  <c r="D26" i="36"/>
  <c r="E4" i="36" s="1"/>
  <c r="E26" i="36" s="1"/>
  <c r="F4" i="36" s="1"/>
  <c r="F26" i="36" s="1"/>
  <c r="I4" i="36" s="1"/>
  <c r="I26" i="36" s="1"/>
  <c r="J4" i="36" s="1"/>
  <c r="Q7" i="36"/>
  <c r="Q6" i="36" s="1"/>
  <c r="AO7" i="36"/>
  <c r="AO6" i="36" s="1"/>
  <c r="C30" i="36"/>
  <c r="C28" i="36"/>
  <c r="K30" i="36"/>
  <c r="K28" i="36"/>
  <c r="K29" i="36"/>
  <c r="O30" i="36"/>
  <c r="O28" i="36"/>
  <c r="O29" i="36"/>
  <c r="S30" i="36"/>
  <c r="S28" i="36"/>
  <c r="S29" i="36"/>
  <c r="W30" i="36"/>
  <c r="W28" i="36"/>
  <c r="W29" i="36"/>
  <c r="AI11" i="36"/>
  <c r="AM30" i="36"/>
  <c r="AM28" i="36"/>
  <c r="AM29" i="36"/>
  <c r="AQ30" i="36"/>
  <c r="AQ28" i="36"/>
  <c r="AQ29" i="36"/>
  <c r="AU30" i="36"/>
  <c r="AU29" i="36"/>
  <c r="AY30" i="36"/>
  <c r="AY29" i="36"/>
  <c r="BB11" i="36"/>
  <c r="D29" i="36"/>
  <c r="D28" i="36"/>
  <c r="G12" i="36"/>
  <c r="Q12" i="36"/>
  <c r="AN12" i="36"/>
  <c r="AN14" i="36"/>
  <c r="BC17" i="36"/>
  <c r="BD17" i="36" s="1"/>
  <c r="P21" i="36"/>
  <c r="P19" i="36" s="1"/>
  <c r="AX21" i="36"/>
  <c r="BC21" i="36" s="1"/>
  <c r="AU19" i="36"/>
  <c r="AE22" i="36"/>
  <c r="AT22" i="36"/>
  <c r="BD22" i="36" s="1"/>
  <c r="AO22" i="36"/>
  <c r="C25" i="36"/>
  <c r="F29" i="36"/>
  <c r="T29" i="36"/>
  <c r="T30" i="36"/>
  <c r="T28" i="36"/>
  <c r="X29" i="36"/>
  <c r="X30" i="36"/>
  <c r="X28" i="36"/>
  <c r="AB29" i="36"/>
  <c r="AB30" i="36"/>
  <c r="AB28" i="36"/>
  <c r="AJ11" i="36"/>
  <c r="AR29" i="36"/>
  <c r="AR30" i="36"/>
  <c r="AR28" i="36"/>
  <c r="V12" i="36"/>
  <c r="BD14" i="36"/>
  <c r="J31" i="36"/>
  <c r="J19" i="36"/>
  <c r="Q20" i="36"/>
  <c r="X31" i="36"/>
  <c r="Z20" i="36"/>
  <c r="AN31" i="36"/>
  <c r="V21" i="36"/>
  <c r="AA21" i="36"/>
  <c r="AS21" i="36"/>
  <c r="AF28" i="36"/>
  <c r="AF30" i="36"/>
  <c r="AA12" i="36"/>
  <c r="AE12" i="36"/>
  <c r="AE10" i="36" s="1"/>
  <c r="AE30" i="36" s="1"/>
  <c r="AE14" i="36"/>
  <c r="G31" i="36"/>
  <c r="K31" i="36"/>
  <c r="AS20" i="36"/>
  <c r="H21" i="36"/>
  <c r="H19" i="36" s="1"/>
  <c r="H26" i="36" s="1"/>
  <c r="L21" i="36"/>
  <c r="AJ21" i="36"/>
  <c r="Q22" i="36"/>
  <c r="AZ30" i="36"/>
  <c r="AT35" i="36"/>
  <c r="AJ35" i="36"/>
  <c r="AO35" i="36"/>
  <c r="AJ12" i="36"/>
  <c r="AJ14" i="36"/>
  <c r="AO14" i="36"/>
  <c r="H31" i="36"/>
  <c r="L20" i="36"/>
  <c r="V20" i="36"/>
  <c r="Q21" i="36"/>
  <c r="AO21" i="36"/>
  <c r="V22" i="36"/>
  <c r="AA34" i="36"/>
  <c r="Q34" i="36"/>
  <c r="S31" i="36"/>
  <c r="W31" i="36"/>
  <c r="AA20" i="36"/>
  <c r="AM31" i="36"/>
  <c r="AQ31" i="36"/>
  <c r="AU31" i="36"/>
  <c r="AE34" i="36"/>
  <c r="AA35" i="36"/>
  <c r="V35" i="36"/>
  <c r="Q35" i="36"/>
  <c r="J13" i="33"/>
  <c r="M31" i="37" l="1"/>
  <c r="L11" i="37"/>
  <c r="G26" i="37"/>
  <c r="G10" i="37"/>
  <c r="G25" i="37" s="1"/>
  <c r="K25" i="37"/>
  <c r="E33" i="37"/>
  <c r="C22" i="37"/>
  <c r="D33" i="37"/>
  <c r="F33" i="37"/>
  <c r="C33" i="37"/>
  <c r="C27" i="37"/>
  <c r="L17" i="37"/>
  <c r="G28" i="37"/>
  <c r="G16" i="37"/>
  <c r="G23" i="37" s="1"/>
  <c r="Q4" i="36"/>
  <c r="L4" i="36"/>
  <c r="AA4" i="36"/>
  <c r="AA26" i="36" s="1"/>
  <c r="V4" i="36"/>
  <c r="H29" i="36"/>
  <c r="H28" i="36"/>
  <c r="H10" i="36"/>
  <c r="H30" i="36" s="1"/>
  <c r="V30" i="36"/>
  <c r="V29" i="36"/>
  <c r="V10" i="36"/>
  <c r="V28" i="36" s="1"/>
  <c r="AA31" i="36"/>
  <c r="AA19" i="36"/>
  <c r="AS31" i="36"/>
  <c r="AS19" i="36"/>
  <c r="Z31" i="36"/>
  <c r="Z19" i="36"/>
  <c r="P31" i="36"/>
  <c r="BB29" i="36"/>
  <c r="BB10" i="36"/>
  <c r="BB28" i="36" s="1"/>
  <c r="AO31" i="36"/>
  <c r="AO19" i="36"/>
  <c r="U31" i="36"/>
  <c r="U19" i="36"/>
  <c r="BC15" i="36"/>
  <c r="BC11" i="36"/>
  <c r="AE28" i="36"/>
  <c r="U29" i="36"/>
  <c r="AX6" i="36"/>
  <c r="AJ31" i="36"/>
  <c r="AJ19" i="36"/>
  <c r="AA30" i="36"/>
  <c r="AA29" i="36"/>
  <c r="AA10" i="36"/>
  <c r="AA28" i="36" s="1"/>
  <c r="AN29" i="36"/>
  <c r="AN28" i="36"/>
  <c r="AN10" i="36"/>
  <c r="AN30" i="36" s="1"/>
  <c r="AA36" i="36"/>
  <c r="C24" i="36"/>
  <c r="D3" i="36"/>
  <c r="AT31" i="36"/>
  <c r="AT19" i="36"/>
  <c r="AX19" i="36"/>
  <c r="BC20" i="36"/>
  <c r="AX31" i="36"/>
  <c r="AS29" i="36"/>
  <c r="Q29" i="36"/>
  <c r="Q30" i="36"/>
  <c r="Q10" i="36"/>
  <c r="Q28" i="36" s="1"/>
  <c r="Y28" i="36"/>
  <c r="BC6" i="36"/>
  <c r="AI31" i="36"/>
  <c r="AI19" i="36"/>
  <c r="L29" i="36"/>
  <c r="L30" i="36"/>
  <c r="L10" i="36"/>
  <c r="L28" i="36" s="1"/>
  <c r="AO34" i="36"/>
  <c r="AE36" i="36"/>
  <c r="AT34" i="36"/>
  <c r="AJ34" i="36"/>
  <c r="AI30" i="36"/>
  <c r="AI29" i="36"/>
  <c r="AI10" i="36"/>
  <c r="AI28" i="36" s="1"/>
  <c r="P29" i="36"/>
  <c r="P10" i="36"/>
  <c r="P30" i="36"/>
  <c r="P28" i="36"/>
  <c r="V19" i="36"/>
  <c r="V31" i="36"/>
  <c r="AI36" i="36"/>
  <c r="L31" i="36"/>
  <c r="L19" i="36"/>
  <c r="AS36" i="36"/>
  <c r="Q31" i="36"/>
  <c r="Q19" i="36"/>
  <c r="AJ29" i="36"/>
  <c r="AJ30" i="36"/>
  <c r="AJ28" i="36"/>
  <c r="AJ10" i="36"/>
  <c r="BD21" i="36"/>
  <c r="J26" i="36"/>
  <c r="K4" i="36" s="1"/>
  <c r="K26" i="36" s="1"/>
  <c r="M4" i="36" s="1"/>
  <c r="M26" i="36" s="1"/>
  <c r="N4" i="36" s="1"/>
  <c r="N26" i="36" s="1"/>
  <c r="O4" i="36" s="1"/>
  <c r="O26" i="36" s="1"/>
  <c r="AE31" i="36"/>
  <c r="AE19" i="36"/>
  <c r="AO29" i="36"/>
  <c r="AO30" i="36"/>
  <c r="AO28" i="36"/>
  <c r="AO10" i="36"/>
  <c r="Z30" i="36"/>
  <c r="Z28" i="36"/>
  <c r="Z29" i="36"/>
  <c r="Z10" i="36"/>
  <c r="AX30" i="36"/>
  <c r="U28" i="36"/>
  <c r="G30" i="36"/>
  <c r="G29" i="36"/>
  <c r="G10" i="36"/>
  <c r="G28" i="36" s="1"/>
  <c r="BD7" i="36"/>
  <c r="AA6" i="36"/>
  <c r="AT12" i="36"/>
  <c r="J25" i="7"/>
  <c r="J21" i="7"/>
  <c r="K4" i="37" l="1"/>
  <c r="K23" i="37" s="1"/>
  <c r="H4" i="37"/>
  <c r="H23" i="37" s="1"/>
  <c r="I4" i="37" s="1"/>
  <c r="I23" i="37" s="1"/>
  <c r="J4" i="37" s="1"/>
  <c r="J23" i="37" s="1"/>
  <c r="G27" i="37"/>
  <c r="J33" i="37"/>
  <c r="L3" i="37"/>
  <c r="D3" i="37"/>
  <c r="G3" i="37"/>
  <c r="C21" i="37"/>
  <c r="K33" i="37"/>
  <c r="H33" i="37"/>
  <c r="G33" i="37"/>
  <c r="L28" i="37"/>
  <c r="L16" i="37"/>
  <c r="L23" i="37" s="1"/>
  <c r="M17" i="37"/>
  <c r="I33" i="37"/>
  <c r="L10" i="37"/>
  <c r="L33" i="37" s="1"/>
  <c r="L26" i="37"/>
  <c r="M11" i="37"/>
  <c r="D25" i="36"/>
  <c r="D2" i="36"/>
  <c r="G3" i="36"/>
  <c r="AO4" i="36"/>
  <c r="AO26" i="36" s="1"/>
  <c r="AJ4" i="36"/>
  <c r="AJ26" i="36" s="1"/>
  <c r="AB4" i="36"/>
  <c r="AB26" i="36" s="1"/>
  <c r="AC4" i="36" s="1"/>
  <c r="AC26" i="36" s="1"/>
  <c r="AD4" i="36" s="1"/>
  <c r="AD26" i="36" s="1"/>
  <c r="AE4" i="36"/>
  <c r="AE26" i="36" s="1"/>
  <c r="AT4" i="36"/>
  <c r="AT26" i="36" s="1"/>
  <c r="AT10" i="36"/>
  <c r="AN36" i="36"/>
  <c r="L26" i="36"/>
  <c r="P4" i="36" s="1"/>
  <c r="P26" i="36" s="1"/>
  <c r="BC31" i="36"/>
  <c r="BC19" i="36"/>
  <c r="BD20" i="36"/>
  <c r="BD6" i="36"/>
  <c r="AT29" i="36"/>
  <c r="BD12" i="36"/>
  <c r="Q26" i="36"/>
  <c r="BC29" i="36"/>
  <c r="BD11" i="36"/>
  <c r="BC10" i="36"/>
  <c r="BC28" i="36" s="1"/>
  <c r="AU36" i="36"/>
  <c r="AT36" i="36"/>
  <c r="AW36" i="36"/>
  <c r="AZ36" i="36"/>
  <c r="AV36" i="36"/>
  <c r="BB36" i="36"/>
  <c r="AY36" i="36"/>
  <c r="BA36" i="36"/>
  <c r="AX36" i="36"/>
  <c r="BD34" i="36"/>
  <c r="BB30" i="36"/>
  <c r="H36" i="36"/>
  <c r="H25" i="36"/>
  <c r="P36" i="36"/>
  <c r="U36" i="36"/>
  <c r="Z36" i="36"/>
  <c r="L36" i="36"/>
  <c r="V26" i="36"/>
  <c r="J8" i="7"/>
  <c r="L27" i="37" l="1"/>
  <c r="M16" i="37"/>
  <c r="M23" i="37" s="1"/>
  <c r="M28" i="37"/>
  <c r="G22" i="37"/>
  <c r="G2" i="37"/>
  <c r="D2" i="37"/>
  <c r="D22" i="37"/>
  <c r="M25" i="37"/>
  <c r="M10" i="37"/>
  <c r="M26" i="37"/>
  <c r="M27" i="37"/>
  <c r="L25" i="37"/>
  <c r="L22" i="37"/>
  <c r="L21" i="37" s="1"/>
  <c r="L2" i="37"/>
  <c r="BD29" i="36"/>
  <c r="BD10" i="36"/>
  <c r="BD25" i="36" s="1"/>
  <c r="BD24" i="36" s="1"/>
  <c r="BD31" i="36"/>
  <c r="BD19" i="36"/>
  <c r="BD26" i="36" s="1"/>
  <c r="U4" i="36"/>
  <c r="U26" i="36" s="1"/>
  <c r="R4" i="36"/>
  <c r="R26" i="36" s="1"/>
  <c r="S4" i="36" s="1"/>
  <c r="S26" i="36" s="1"/>
  <c r="T4" i="36" s="1"/>
  <c r="T26" i="36" s="1"/>
  <c r="G25" i="36"/>
  <c r="G24" i="36" s="1"/>
  <c r="G2" i="36"/>
  <c r="AT30" i="36"/>
  <c r="BC36" i="36"/>
  <c r="AK4" i="36"/>
  <c r="AK26" i="36" s="1"/>
  <c r="AL4" i="36" s="1"/>
  <c r="AL26" i="36" s="1"/>
  <c r="AM4" i="36" s="1"/>
  <c r="AM26" i="36" s="1"/>
  <c r="AN4" i="36"/>
  <c r="AN26" i="36" s="1"/>
  <c r="D24" i="36"/>
  <c r="E3" i="36"/>
  <c r="AF4" i="36"/>
  <c r="AF26" i="36" s="1"/>
  <c r="AG4" i="36" s="1"/>
  <c r="AG26" i="36" s="1"/>
  <c r="AH4" i="36" s="1"/>
  <c r="AH26" i="36" s="1"/>
  <c r="AI4" i="36"/>
  <c r="AI26" i="36" s="1"/>
  <c r="W4" i="36"/>
  <c r="W26" i="36" s="1"/>
  <c r="X4" i="36" s="1"/>
  <c r="X26" i="36" s="1"/>
  <c r="Y4" i="36" s="1"/>
  <c r="Y26" i="36" s="1"/>
  <c r="Z4" i="36"/>
  <c r="Z26" i="36" s="1"/>
  <c r="H24" i="36"/>
  <c r="V3" i="36"/>
  <c r="Q3" i="36"/>
  <c r="L3" i="36"/>
  <c r="AA3" i="36"/>
  <c r="BC30" i="36"/>
  <c r="BC4" i="36"/>
  <c r="BC26" i="36" s="1"/>
  <c r="AU4" i="36"/>
  <c r="AU26" i="36" s="1"/>
  <c r="AV4" i="36" s="1"/>
  <c r="AV26" i="36" s="1"/>
  <c r="AW4" i="36" s="1"/>
  <c r="AW26" i="36" s="1"/>
  <c r="AX4" i="36"/>
  <c r="AX26" i="36" s="1"/>
  <c r="AS4" i="36"/>
  <c r="AS26" i="36" s="1"/>
  <c r="AP4" i="36"/>
  <c r="AP26" i="36" s="1"/>
  <c r="AQ4" i="36" s="1"/>
  <c r="AQ26" i="36" s="1"/>
  <c r="AR4" i="36" s="1"/>
  <c r="AR26" i="36" s="1"/>
  <c r="AT28" i="36"/>
  <c r="C22" i="23"/>
  <c r="D22" i="23"/>
  <c r="E22" i="23"/>
  <c r="F22" i="23"/>
  <c r="G22" i="23"/>
  <c r="H22" i="23"/>
  <c r="I22" i="23"/>
  <c r="B22" i="23"/>
  <c r="C21" i="23"/>
  <c r="D21" i="23"/>
  <c r="E21" i="23"/>
  <c r="F21" i="23"/>
  <c r="G21" i="23"/>
  <c r="H21" i="23"/>
  <c r="I21" i="23"/>
  <c r="B21" i="23"/>
  <c r="H3" i="37" l="1"/>
  <c r="G21" i="37"/>
  <c r="K3" i="37"/>
  <c r="K22" i="37" s="1"/>
  <c r="K21" i="37" s="1"/>
  <c r="E3" i="37"/>
  <c r="D21" i="37"/>
  <c r="M22" i="37"/>
  <c r="M21" i="37" s="1"/>
  <c r="M33" i="37"/>
  <c r="V25" i="36"/>
  <c r="V2" i="36"/>
  <c r="BD36" i="36"/>
  <c r="BD28" i="36"/>
  <c r="Q25" i="36"/>
  <c r="Q2" i="36"/>
  <c r="AY4" i="36"/>
  <c r="AY26" i="36" s="1"/>
  <c r="AZ4" i="36" s="1"/>
  <c r="AZ26" i="36" s="1"/>
  <c r="BA4" i="36" s="1"/>
  <c r="BA26" i="36" s="1"/>
  <c r="BB4" i="36"/>
  <c r="BB26" i="36" s="1"/>
  <c r="BD30" i="36"/>
  <c r="AA25" i="36"/>
  <c r="AA2" i="36"/>
  <c r="L25" i="36"/>
  <c r="L2" i="36"/>
  <c r="E25" i="36"/>
  <c r="E2" i="36"/>
  <c r="P31" i="35"/>
  <c r="I26" i="35"/>
  <c r="G26" i="35"/>
  <c r="P25" i="35"/>
  <c r="I24" i="35"/>
  <c r="H24" i="35"/>
  <c r="G24" i="35"/>
  <c r="F24" i="35"/>
  <c r="E24" i="35"/>
  <c r="D24" i="35"/>
  <c r="H26" i="35"/>
  <c r="P22" i="35"/>
  <c r="F26" i="35"/>
  <c r="E26" i="35"/>
  <c r="P12" i="35"/>
  <c r="P24" i="35" l="1"/>
  <c r="E22" i="37"/>
  <c r="E2" i="37"/>
  <c r="H22" i="37"/>
  <c r="H2" i="37"/>
  <c r="K2" i="37" s="1"/>
  <c r="L24" i="36"/>
  <c r="P3" i="36"/>
  <c r="F3" i="36"/>
  <c r="E24" i="36"/>
  <c r="AA24" i="36"/>
  <c r="AT3" i="36"/>
  <c r="AO3" i="36"/>
  <c r="AJ3" i="36"/>
  <c r="AB3" i="36"/>
  <c r="AE3" i="36"/>
  <c r="R3" i="36"/>
  <c r="U3" i="36"/>
  <c r="Q24" i="36"/>
  <c r="V24" i="36"/>
  <c r="Z3" i="36"/>
  <c r="W3" i="36"/>
  <c r="P26" i="35"/>
  <c r="I3" i="37" l="1"/>
  <c r="H21" i="37"/>
  <c r="E21" i="37"/>
  <c r="F3" i="37"/>
  <c r="W25" i="36"/>
  <c r="W2" i="36"/>
  <c r="Z25" i="36"/>
  <c r="Z24" i="36" s="1"/>
  <c r="Z2" i="36"/>
  <c r="R25" i="36"/>
  <c r="R2" i="36"/>
  <c r="AO25" i="36"/>
  <c r="AO2" i="36"/>
  <c r="F25" i="36"/>
  <c r="F2" i="36"/>
  <c r="AE25" i="36"/>
  <c r="AE2" i="36"/>
  <c r="AT25" i="36"/>
  <c r="AT2" i="36"/>
  <c r="P25" i="36"/>
  <c r="P24" i="36" s="1"/>
  <c r="P2" i="36"/>
  <c r="U25" i="36"/>
  <c r="U24" i="36" s="1"/>
  <c r="U2" i="36"/>
  <c r="AJ25" i="36"/>
  <c r="AJ2" i="36"/>
  <c r="AB25" i="36"/>
  <c r="AB2" i="36"/>
  <c r="J40" i="34"/>
  <c r="F22" i="37" l="1"/>
  <c r="F21" i="37" s="1"/>
  <c r="F2" i="37"/>
  <c r="I22" i="37"/>
  <c r="I2" i="37"/>
  <c r="AJ24" i="36"/>
  <c r="AK3" i="36"/>
  <c r="AN3" i="36"/>
  <c r="AE24" i="36"/>
  <c r="AF3" i="36"/>
  <c r="AI3" i="36"/>
  <c r="AP3" i="36"/>
  <c r="AO24" i="36"/>
  <c r="AS3" i="36"/>
  <c r="AB24" i="36"/>
  <c r="AC3" i="36"/>
  <c r="AT24" i="36"/>
  <c r="AX3" i="36"/>
  <c r="AU3" i="36"/>
  <c r="BC3" i="36"/>
  <c r="F24" i="36"/>
  <c r="I3" i="36"/>
  <c r="R24" i="36"/>
  <c r="S3" i="36"/>
  <c r="W24" i="36"/>
  <c r="X3" i="36"/>
  <c r="I45" i="34"/>
  <c r="H45" i="34"/>
  <c r="G45" i="34"/>
  <c r="F45" i="34"/>
  <c r="E45" i="34"/>
  <c r="D45" i="34"/>
  <c r="C45" i="34"/>
  <c r="Q44" i="34"/>
  <c r="Q43" i="34"/>
  <c r="I40" i="34"/>
  <c r="H40" i="34"/>
  <c r="G40" i="34"/>
  <c r="F40" i="34"/>
  <c r="E40" i="34"/>
  <c r="I12" i="34"/>
  <c r="I14" i="34" s="1"/>
  <c r="H12" i="34"/>
  <c r="H14" i="34" s="1"/>
  <c r="G12" i="34"/>
  <c r="G14" i="34" s="1"/>
  <c r="F12" i="34"/>
  <c r="F14" i="34" s="1"/>
  <c r="E12" i="34"/>
  <c r="E14" i="34" s="1"/>
  <c r="D12" i="34"/>
  <c r="C12" i="34"/>
  <c r="I13" i="33"/>
  <c r="H13" i="33"/>
  <c r="G13" i="33"/>
  <c r="F13" i="33"/>
  <c r="E13" i="33"/>
  <c r="D13" i="33"/>
  <c r="Q45" i="34" l="1"/>
  <c r="J3" i="37"/>
  <c r="I21" i="37"/>
  <c r="S2" i="36"/>
  <c r="S25" i="36"/>
  <c r="BC25" i="36"/>
  <c r="BC24" i="36" s="1"/>
  <c r="BC2" i="36"/>
  <c r="AC25" i="36"/>
  <c r="AC2" i="36"/>
  <c r="AP25" i="36"/>
  <c r="AP2" i="36"/>
  <c r="AN25" i="36"/>
  <c r="AN24" i="36" s="1"/>
  <c r="AN2" i="36"/>
  <c r="AU25" i="36"/>
  <c r="AU2" i="36"/>
  <c r="AI25" i="36"/>
  <c r="AI24" i="36" s="1"/>
  <c r="AI2" i="36"/>
  <c r="AK25" i="36"/>
  <c r="AK2" i="36"/>
  <c r="X25" i="36"/>
  <c r="X2" i="36"/>
  <c r="I25" i="36"/>
  <c r="I2" i="36"/>
  <c r="AX25" i="36"/>
  <c r="AX2" i="36"/>
  <c r="AS25" i="36"/>
  <c r="AS24" i="36" s="1"/>
  <c r="AS2" i="36"/>
  <c r="AF25" i="36"/>
  <c r="AF2" i="36"/>
  <c r="J22" i="37" l="1"/>
  <c r="J21" i="37" s="1"/>
  <c r="J2" i="37"/>
  <c r="J3" i="36"/>
  <c r="I24" i="36"/>
  <c r="AL3" i="36"/>
  <c r="AK24" i="36"/>
  <c r="AU24" i="36"/>
  <c r="AV3" i="36"/>
  <c r="AP24" i="36"/>
  <c r="AQ3" i="36"/>
  <c r="S24" i="36"/>
  <c r="T3" i="36"/>
  <c r="AF24" i="36"/>
  <c r="AG3" i="36"/>
  <c r="AX24" i="36"/>
  <c r="BB2" i="36" s="1"/>
  <c r="BB3" i="36"/>
  <c r="BB25" i="36" s="1"/>
  <c r="BB24" i="36" s="1"/>
  <c r="AY3" i="36"/>
  <c r="X24" i="36"/>
  <c r="Y3" i="36"/>
  <c r="AC24" i="36"/>
  <c r="AD3" i="36"/>
  <c r="AG25" i="36" l="1"/>
  <c r="AG2" i="36"/>
  <c r="AQ25" i="36"/>
  <c r="AQ2" i="36"/>
  <c r="AD25" i="36"/>
  <c r="AD24" i="36" s="1"/>
  <c r="AD2" i="36"/>
  <c r="AY25" i="36"/>
  <c r="AY2" i="36"/>
  <c r="AL25" i="36"/>
  <c r="AL2" i="36"/>
  <c r="T25" i="36"/>
  <c r="T24" i="36" s="1"/>
  <c r="T2" i="36"/>
  <c r="AV25" i="36"/>
  <c r="AV2" i="36"/>
  <c r="Y25" i="36"/>
  <c r="Y24" i="36" s="1"/>
  <c r="Y2" i="36"/>
  <c r="J25" i="36"/>
  <c r="J2" i="36"/>
  <c r="AY24" i="36" l="1"/>
  <c r="AZ3" i="36"/>
  <c r="AQ24" i="36"/>
  <c r="AR3" i="36"/>
  <c r="J24" i="36"/>
  <c r="K3" i="36"/>
  <c r="AV24" i="36"/>
  <c r="AW3" i="36"/>
  <c r="AL24" i="36"/>
  <c r="AM3" i="36"/>
  <c r="AH3" i="36"/>
  <c r="AG24" i="36"/>
  <c r="AR25" i="36" l="1"/>
  <c r="AR24" i="36" s="1"/>
  <c r="AR2" i="36"/>
  <c r="AH25" i="36"/>
  <c r="AH24" i="36" s="1"/>
  <c r="AH2" i="36"/>
  <c r="AM25" i="36"/>
  <c r="AM24" i="36" s="1"/>
  <c r="AM2" i="36"/>
  <c r="K2" i="36"/>
  <c r="K25" i="36"/>
  <c r="AZ25" i="36"/>
  <c r="AZ2" i="36"/>
  <c r="AW25" i="36"/>
  <c r="AW24" i="36" s="1"/>
  <c r="AW2" i="36"/>
  <c r="K24" i="36" l="1"/>
  <c r="M3" i="36"/>
  <c r="AZ24" i="36"/>
  <c r="BA3" i="36"/>
  <c r="BA25" i="36" l="1"/>
  <c r="BA24" i="36" s="1"/>
  <c r="BA2" i="36"/>
  <c r="M25" i="36"/>
  <c r="M2" i="36"/>
  <c r="M24" i="36" l="1"/>
  <c r="N3" i="36"/>
  <c r="N25" i="36" l="1"/>
  <c r="N2" i="36"/>
  <c r="I8" i="23"/>
  <c r="H8" i="23"/>
  <c r="G8" i="23"/>
  <c r="F8" i="23"/>
  <c r="E8" i="23"/>
  <c r="D8" i="23"/>
  <c r="C8" i="23"/>
  <c r="B8" i="23"/>
  <c r="N24" i="36" l="1"/>
  <c r="O3" i="36"/>
  <c r="O2" i="36" l="1"/>
  <c r="O25" i="36"/>
  <c r="O24" i="36" s="1"/>
  <c r="C15" i="15"/>
  <c r="D15" i="15"/>
  <c r="E15" i="15"/>
  <c r="F15" i="15"/>
  <c r="B15" i="15"/>
  <c r="I25" i="7" l="1"/>
  <c r="I21" i="7"/>
  <c r="I8" i="7" l="1"/>
  <c r="C11" i="15" l="1"/>
  <c r="D11" i="15"/>
  <c r="E11" i="15"/>
  <c r="F11" i="15"/>
  <c r="B11" i="15"/>
  <c r="C25" i="7" l="1"/>
  <c r="E25" i="7"/>
  <c r="F25" i="7"/>
  <c r="G25" i="7"/>
  <c r="H25" i="7"/>
  <c r="D25" i="7"/>
  <c r="D21" i="7"/>
  <c r="F21" i="7"/>
  <c r="G21" i="7"/>
  <c r="H21" i="7"/>
  <c r="Q10" i="5" l="1"/>
  <c r="Q11" i="5"/>
  <c r="Q12" i="5"/>
  <c r="Q13" i="5"/>
  <c r="Q9" i="5"/>
  <c r="E21" i="7"/>
</calcChain>
</file>

<file path=xl/sharedStrings.xml><?xml version="1.0" encoding="utf-8"?>
<sst xmlns="http://schemas.openxmlformats.org/spreadsheetml/2006/main" count="695" uniqueCount="377">
  <si>
    <t>√</t>
  </si>
  <si>
    <t>Q1</t>
  </si>
  <si>
    <t>Q2</t>
  </si>
  <si>
    <t>Q3</t>
  </si>
  <si>
    <t>Q4</t>
  </si>
  <si>
    <t>KPI 1</t>
  </si>
  <si>
    <t>KPI 2</t>
  </si>
  <si>
    <t>KPI 3</t>
  </si>
  <si>
    <t>KPI 4</t>
  </si>
  <si>
    <t>KPI 5</t>
  </si>
  <si>
    <t>KPI 6</t>
  </si>
  <si>
    <t>KPI 7</t>
  </si>
  <si>
    <t>KPI 8</t>
  </si>
  <si>
    <t>KPI 9</t>
  </si>
  <si>
    <t>KPI 10</t>
  </si>
  <si>
    <t>Û</t>
  </si>
  <si>
    <t>V. Τα στοιχεία του "Νέου Ληξιπροθέσμου Υπολοίπου" υπολογίζονται με χρονική υστέρηση ενός μήνα, σε σχέση με την περίοδο είσπραξης και διαγραφής έναντι αυτού.</t>
  </si>
  <si>
    <t>Πλήθος νέων εντολών ελέγχου (2)</t>
  </si>
  <si>
    <t>ΥΠΟΥΡΓΕΙΟ ΟΙΚΟΝΟΜΙΚΩΝ</t>
  </si>
  <si>
    <t>ΓΕΝΙΚΗ ΓΡΑΜΜΑΤΕΙΑ ΔΗΜΟΣΙΩΝ ΕΣΟΔΩΝ</t>
  </si>
  <si>
    <t>Πλήθος υποθέσεων (έλεγχος ανά φορολογούμενο)</t>
  </si>
  <si>
    <t>Εισπραχθέντες φόροι και πρόστιμα από ελέγχους κατόπιν εισαγγελικής παραγγελίας</t>
  </si>
  <si>
    <t>Βεβαιωθέντες φόροι και πρόστιμα από ελέγχους κατόπιν εισαγγελικής παραγγελίας</t>
  </si>
  <si>
    <t>2013 τέλος έτους</t>
  </si>
  <si>
    <t>2014 τέλος έτους</t>
  </si>
  <si>
    <t>2015 τέλος έτους</t>
  </si>
  <si>
    <t>ΙΑΝ</t>
  </si>
  <si>
    <t>ΦΕΒ</t>
  </si>
  <si>
    <t>ΜΑΡ</t>
  </si>
  <si>
    <t>ΑΠΡ</t>
  </si>
  <si>
    <t>ΜΑΪ</t>
  </si>
  <si>
    <t>ΙΟΥΝ</t>
  </si>
  <si>
    <t>ΙΟΥΛ</t>
  </si>
  <si>
    <t>ΑΥΓ</t>
  </si>
  <si>
    <t>ΣΕΠ</t>
  </si>
  <si>
    <t>ΟΚΤ</t>
  </si>
  <si>
    <t>ΝΟΕ</t>
  </si>
  <si>
    <t>ΔΕΚ</t>
  </si>
  <si>
    <t>ΣΥΝΟΛΟ</t>
  </si>
  <si>
    <t>Δ.Ο.Υ.</t>
  </si>
  <si>
    <t>Φ.Α.Ε.</t>
  </si>
  <si>
    <t>Πλήθος ερευνών για απάτη Φ.Π.Α. σε εξέλιξη στην αρχή του μήνα αναφοράς (1)</t>
  </si>
  <si>
    <t>Πλήθος νέων ερευνών για απάτη Φ.Π.Α. που ξεκίνησαν τον μήνα αναφοράς (2)</t>
  </si>
  <si>
    <t>Πλήθος ολοκληρωμένων ερευνών για απάτη στο Φ.Π.Α. (3)</t>
  </si>
  <si>
    <t>Πλήθος ερευνών για απάτη Φ.Π.Α. σε εξέλιξη στο τέλος του μήνα αναφοράς (4)=(1)+(2)-(3)</t>
  </si>
  <si>
    <t>Διαφυγόντα έσοδα που εντοπίστηκαν από έρευνες για απάτη στο Φ.Π.Α. (€ εκ.) (5)</t>
  </si>
  <si>
    <t>ΣΗΜΕΙΩΣΗ:</t>
  </si>
  <si>
    <t>• Τα παραπάνω δεδομένα είναι μηνιαία, εκτός από αυτά που αφορούν στο πλήθος ερευνών σε εξέλιξη.</t>
  </si>
  <si>
    <t>Επιστροφές Φ.Π.Α.</t>
  </si>
  <si>
    <t>Πλήθος διεκπεραιωμένων αιτημάτων (πληρωθέντα και απορριφθέντα) εντός 90 ημερών, στο τρίμηνο αναφοράς</t>
  </si>
  <si>
    <t xml:space="preserve">Ποσά που αντιστοιχούν στα διεκπεραιωθέντα αιτήματα (πληρωθέντα και απορριφθέντα) εντός 90 ημερών, στο τρίμηνο αναφοράς </t>
  </si>
  <si>
    <t>Πλήθος εκκρεμών αιτημάτων άνω των 90 ημερών στο τέλος του τριμήνου αναφοράς</t>
  </si>
  <si>
    <t>Ποσά που αντιστοιχούν στα εκκρεμή αιτήματα άνω των 90 ημερών στο τέλος του τριμήνου αναφοράς</t>
  </si>
  <si>
    <t>Υπόλοιπο εκκρεμών αιτημάτων επιστροφών (σε ποσά-€) (ΦΠΑ, ΦΕΝΠ, ΦΕΦΠ)</t>
  </si>
  <si>
    <t>Υπόλοιπο εκκρεμών αιτημάτων επιστροφών (ΦΠΑ, ΦΕΝΠ και ΦΕΦΠ) (με ΑΦΕΚ) (σε ποσά-€)</t>
  </si>
  <si>
    <t>Υπόλοιπο εκκρεμών αιτημάτων επιστροφών (ΦΠΑ, ΦΕΝΠ και ΦΕΦΠ) (χωρίς ΑΦΕΚ) (σε ποσά-€)</t>
  </si>
  <si>
    <t>Υπόλοιπο εκκρεμών αιτημάτων επιστροφών ΦΠΑ, ΦΕΝΠ και ΦΕΦΠ (με και χωρίς ΑΦΕΚ) (σε ποσά-€)</t>
  </si>
  <si>
    <t>ΣΗΜΕΙΩΣΕΙΣ</t>
  </si>
  <si>
    <t xml:space="preserve">I. Διαθέσιμα δεδομένα μόνο για ΦΠΑ. </t>
  </si>
  <si>
    <t xml:space="preserve">Επισκόπηση των Κρίσιμων Δεικτών Παρακολούθησης της Απόδοσης της Φορολογικής Διοίκησης (ΚPIs) </t>
  </si>
  <si>
    <r>
      <t xml:space="preserve">Εισπράξεις έναντι ληξιπρόθεσμου χρέους από την Επιχειρησιακή Μονάδα Είσπραξης (ΕΜΕΙΣ) (σε εκ. </t>
    </r>
    <r>
      <rPr>
        <sz val="9"/>
        <rFont val="Calibri"/>
        <family val="2"/>
        <charset val="161"/>
      </rPr>
      <t>€</t>
    </r>
    <r>
      <rPr>
        <sz val="9"/>
        <rFont val="Arial"/>
        <family val="2"/>
        <charset val="161"/>
      </rPr>
      <t>)</t>
    </r>
  </si>
  <si>
    <t>Είσπραξη οφειλών</t>
  </si>
  <si>
    <t>Έλεγχος φρέσκων υπόθεσεων στο σύνολο της ΓΓΔΕ</t>
  </si>
  <si>
    <t>Έλεγχοι και εισπράξεις Κ.Ε.ΜΕ.ΕΠ.</t>
  </si>
  <si>
    <t xml:space="preserve">Εισπραξιμότητα ελέγχων Κ.Ε.ΜΕ.ΕΠ.  </t>
  </si>
  <si>
    <t>Έλεγχοι και εισπράξεις Κ.Ε.ΦΟ.ΜΕ.Π.</t>
  </si>
  <si>
    <t>Επιστροφές φόρων</t>
  </si>
  <si>
    <t>Συμμόρφωση και αναγκαστικά μέτρα</t>
  </si>
  <si>
    <t>Ποσοστό εμπρόθεσμων πληρωμών  για  Φ.Π.Α., Φ.Ε.Φ.Π., Φ.Ε.Ν.Π  και  Φόρου Ιδιοκτησίας</t>
  </si>
  <si>
    <t>Ποσοστό οφειλετών υπό αναγκαστικά μέτρα είσπραξης</t>
  </si>
  <si>
    <t>Επίλυση φορολογικών διαφορών</t>
  </si>
  <si>
    <t xml:space="preserve"> Ποσοστό των υποθέσεων που εξετάζονται πριν από την κατά νόμο προβλεπόμενη καταληκτική ημερομηνία.</t>
  </si>
  <si>
    <t>ΠΑΡΑΤΗΡΗΣΗ:</t>
  </si>
  <si>
    <t>I. Τα δεδομένα για τα KPIs είναι σωρευτικά από τις αρχές του 2016, με εξαίρεση τα KPIs 4, 7 και 10 που υπολογίζονται σε τριμηνιαία βάση.</t>
  </si>
  <si>
    <t>Σύνολο</t>
  </si>
  <si>
    <t>Είσπραξη ληξιπρόθεσμων οφειλών (Σωρευτικά ποσά σε δις ευρώ)</t>
  </si>
  <si>
    <t>"Παλιό" ληξιπρόθεσμο κεφάλαιο (€ δις) (1)=(4)+(5)+(6)+(7)+(8) [I]</t>
  </si>
  <si>
    <t xml:space="preserve">"Παλιό" ληξιπρόθεσμο κεφάλαιο Φυσικών Προσώπων (δις €) (2) </t>
  </si>
  <si>
    <t xml:space="preserve">"Παλιό" ληξιπρόθεσμο κεφάλαιο Νομικών Προσώπων (δις €) (3) </t>
  </si>
  <si>
    <t xml:space="preserve">Παλιό ληξιπρόθεσμο κεφάλαιο Δημόσιων Επιχειρήσεων Κοινής Ωφελείας, Δημοτικών επιχειρήσεων κ.α (€ δις) (5) </t>
  </si>
  <si>
    <t>"Παλιό" ληξιπρόθεσμο κεφάλαιο πτωχευμένων (€ δις)  (6)</t>
  </si>
  <si>
    <t>"Παλιό" ληξιπρόθεσμο κεφάλαιο Φυσικών και Νομικών Προσώπων (€ δις) (4)=(2)+(3)</t>
  </si>
  <si>
    <t>"Παλιό" ληξιπρόθεσμο κεφάλαιο Ειδικής Εκκαθάρισης (€ δις) (7)</t>
  </si>
  <si>
    <t xml:space="preserve">Μηδενικοί, προσωρινοί (πλασματικοί) και λοιποί ΑΦΜ που χρησιμοποιήθηκαν στο παρελθόν για συγκεκριμένους λόγους (€ δις) (8) </t>
  </si>
  <si>
    <t>Εισπράξεις έναντι "παλαιού" ληξιπρόθεσμου χρέους (€ δις) (9) [Ι] (KPI 1)</t>
  </si>
  <si>
    <t>Συνολικό "Νέο" ληξιπρόθεσμο χρέος που προστέθηκε στα βιβλία  έως τον προηγούμενο μήνα από το μήνα αναφοράς (€ δις) (10) [II]</t>
  </si>
  <si>
    <t>Εισπράξεις έναντι συνολικού "νέου" ληξιπρόθεσμου χρέους (€ δις) (11)</t>
  </si>
  <si>
    <t>Διαγραφές έναντι συνολικού "νέου" ληξιπρόθεσμου χρέους (€ δις) (12)</t>
  </si>
  <si>
    <t>Ποσοστό (%) είσπραξης έναντι συνολικού "νέου" ληξιπρόθεσμου χρέους, (13)=(11)/(10)-(12) [II]</t>
  </si>
  <si>
    <t>"Νέο" ληξιπρόθεσμο χρέος που προστέθηκε στα βιβλία  έως τον προηγούμενο μήνα από το μήνα αναφοράς (€ δις) με εξαίρεση των μη φορολογικών κατηγοριών (14) [ΙΙI]</t>
  </si>
  <si>
    <t xml:space="preserve">Εισπράξεις έναντι "νέου" ληξιπρόθεσμου χρέους (€ δις) με εξαίρεση των μη φορολογικών κατηγοριών (15) </t>
  </si>
  <si>
    <t>Ποσοστό (%) είσπραξης έναντι "νέου" ληξιπρόθεσμου χρέους (17)=(15)/(14)-(16) με εξαίρεση των μη φορολογικών κατηγοριών [III] (KPI 2)</t>
  </si>
  <si>
    <t xml:space="preserve">Ι. Ως "Παλαιό Ληξιπρόθεσμο Χρέος" ορίζεται το ληξιπρόθεσμο υπόλοιπο την 30/11 του προηγούμενου έτους από το έτος αναφοράς.   </t>
  </si>
  <si>
    <t xml:space="preserve">ΙΙ. Ως "Νέο Ληξιπρόθεσμο Χρέος" ορίζεται το ληξιπρόθεσμο υπολοιπο που διαμορφώνεται κατά το τρέχον έτος.                    </t>
  </si>
  <si>
    <t>ΠΑΡΑΤΗΡΗΣΕΙΣ:</t>
  </si>
  <si>
    <t xml:space="preserve">ΙΙΙ. Ως μη φορολογικές κατηγορίες ορίζονται οι εξής: 25 (Λοιπές Εισφορές), 27 (Έμμεσοι Υπέρ Τρίτων), 31 (Μισθώματα), 32 (Υπηρεσίες), 36 (Δάνεια), 37 (Υπέρ Διαφόρων Τρίτων), 38 (Λοιπά Πρόστιμα μη Φορολογικά), 39 (Παράβολα), 41 (Καταλογισμοί) και 49 (Λοιπά μη Φορολογικά).                                </t>
  </si>
  <si>
    <t>Ε.Μ.ΕΙΣ. - Είσπραξη ληξιπρόθεσμων οφειλών (Σωρευτικά ποσά σε δις ευρώ)</t>
  </si>
  <si>
    <t>"Παλιό" ληξιπρόθεσμο κεφάλαιο (€ δις) (1)=(2)+(3)+(4)+(5)+(6)+(7)+(8)</t>
  </si>
  <si>
    <t xml:space="preserve"> "Παλιό" ληξιπρόθεσμο κεφάλαιο Φυσικών Προσώπων (€ δις) (2) </t>
  </si>
  <si>
    <t xml:space="preserve"> "Παλιό" ληξιπρόθεσμο κεφάλαιο Νομικών Προσώπων (€ δις) (3)</t>
  </si>
  <si>
    <t xml:space="preserve">Παλιό ληξιπρόθεσμο κεφάλαιο Δημόσιων Επιχειρήσεων Κοινής Ωφελείας, Δημοτικών επιχειρήσεων κ.α (€ δις) (4) </t>
  </si>
  <si>
    <t xml:space="preserve">"Παλιό" ληξιπρόθεσμο κεφάλαιο πτωχευμένων (€ δις)  (5) </t>
  </si>
  <si>
    <t>"Παλιό" ληξιπρόθεσμο κεφάλαιο Ειδικής Εκκαθάρισης (€ δις) (6)</t>
  </si>
  <si>
    <t>Εισπράξεις έναντι "παλαιού" ληξιπρόθεσμου χρέους (€ δις) (9)</t>
  </si>
  <si>
    <t>Διαγραφές έναντι "παλιού" ληξιπρόθεσμου χρέους (10)</t>
  </si>
  <si>
    <t>"Νέο" ληξιπρόθεσμο χρέος που προστέθηκε στα βιβλία έως τον προηγούμενο μήνα από το μήνα αναφοράς (€ δις) (11)</t>
  </si>
  <si>
    <t>Εισπράξεις έναντι "νέου" ληξιπρόθεσμου χρέους (€ δις)  (12)</t>
  </si>
  <si>
    <t>Διαγραφές έναντι "νέου" ληξιπρόθεσμου χρέους (€ δις) (13)</t>
  </si>
  <si>
    <t>Συνολικές εισπράξες έναντι "παλιού" και "νέου" ληξιπρόθεσμου χρέους (14)=(9)+(12) KPI (3)</t>
  </si>
  <si>
    <t>Συνολικές διαγραφές έναντι "παλιού" και "νέου" ληξιπρόθεσμου χρέους (15)=(10)+(13)</t>
  </si>
  <si>
    <t xml:space="preserve">ΙΙ. Ως "Νέο Ληξιπρόθεσμο Χρέος" ορίζεται το ληξιπρόθεσμο υπολοιπο που διαμορφώνεται κατά το τρέχον έτος.                                      </t>
  </si>
  <si>
    <t>Ολοκληρωμένοι έλεγχοι</t>
  </si>
  <si>
    <t>Κ.Ε.ΜΕ.ΕΠ.</t>
  </si>
  <si>
    <t>Κ.Ε.ΦΟ.ΜΕ.Π.</t>
  </si>
  <si>
    <t>Αριθμός ολοκληρωμένων πλήρων ελέγχων (1a)</t>
  </si>
  <si>
    <t>Αριθμός ολοκληρωμένων πλήρων ελέγχων Κ.Ε.ΦΟ.ΜΕ.Π. (2a)</t>
  </si>
  <si>
    <t>Αριθμός ολοκληρωμένων πλήρων ελέγχων (3a)</t>
  </si>
  <si>
    <t>Αριθμός ολοκληρωμένων πλήρων ελέγχων (4a)</t>
  </si>
  <si>
    <t>Συνολκός αριθμός ολοκληρωμένων πλήρων ελέγχων (5a)=(1a)+(2a)+(3a)+(4a)</t>
  </si>
  <si>
    <t>Αριθμός ολοκληρωμένων μερικών ελέγχων (1b)</t>
  </si>
  <si>
    <t>Αριθμός ολοκληρωμένων μερικών ελέγχων Κ.Ε.ΦΟ.ΜΕ.Π. (2b)</t>
  </si>
  <si>
    <t>Αριθμός ολοκληρωμένων μερικών ελέγχων (3b)</t>
  </si>
  <si>
    <t>Αριθμός ολοκληρωμένων μερικών ελέγχων (4b)</t>
  </si>
  <si>
    <t>Συνολκός αριθμός ολοκληρωμένων μερικών ελέγχων (5b)=(1b)+(2b)+(3b)+(4b)</t>
  </si>
  <si>
    <t>Ολοκληρωμένοι έλεγχοι φρέσκων υποθέσεων</t>
  </si>
  <si>
    <t>Αριθμός ολοκληρωμένων πλήρων ελέγχων φρέσκων υποθέσεων Κ.Ε. ΜΕ.ΕΠ. (6a)</t>
  </si>
  <si>
    <t>Αριθμός ολοκληρωμένων μερικών ελέγχων φρέσκων υποθέσεων Κ.Ε. ΜΕ.ΕΠ. (6b)</t>
  </si>
  <si>
    <t>Αριθμός ολοκληρωμένων μερικών ελέγχων φρέσκων υποθέσεων (7b)</t>
  </si>
  <si>
    <t>Αριθμός ολοκληρωμένων πλήρων ελέγχων φρέσκων υποθέσεων (7a)</t>
  </si>
  <si>
    <t>Αριθμός ολοκληρωμένων πλήρων ελέγχων φρέσκων υποθέσεων (8a)</t>
  </si>
  <si>
    <t>Αριθμός ολοκληρωμένων πλήρων ελέγχων φρέσκων υποθέσεων  (9a)</t>
  </si>
  <si>
    <t>Αριθμός ολοκληρωμένων μερικών ελέγχων φρέσκων υποθέσεων (8b)</t>
  </si>
  <si>
    <t>Αριθμός ολοκληρωμένων μερικών ελέγχων φρέσκων υποθέσεων  (9b)</t>
  </si>
  <si>
    <t>Συνολικός αριθμός ολοκληρωμένων πλήρων ελέγχων φρέσκων υποθέσεων (10a)=(6a)+(7a)+(8a)+(9a)</t>
  </si>
  <si>
    <t>Συνολικός αριθμός ολοκληρωμένων μερικών ελέγχων φρέσκων υποθέσεων  (10b)=(6b)+(7b)+(8b)+(9b)</t>
  </si>
  <si>
    <t>A) ΠΛΗΡΕΙΣ ΚΑΙ ΜΕΡΙΚΟΙ ΕΛΕΓΧΟΙ</t>
  </si>
  <si>
    <t>Πλήθος ολοκληρωμένων ελέγχων (3)</t>
  </si>
  <si>
    <t xml:space="preserve">Πλήθος ολοκληρωμένων ελέγχων (φρέσκες υποθέσεις) </t>
  </si>
  <si>
    <t>Βεβαιωθέντα πρόστιμα από ελέγχους στο μήνα ανφοράς (€ εκ.) (6)</t>
  </si>
  <si>
    <t>Βεβαιωθέντες φόροι από ελέγχους στο μήνα αναφοράς (€ εκ.) (5)</t>
  </si>
  <si>
    <t>Σύνολο βεβαιωθέντων φόρων και προστίμων (από ελέγχους) (7)= (5)+(6)</t>
  </si>
  <si>
    <t>Εισπραχθέντες φόροι και πρόστιμα από τα βεβαιωθέντα ποσά του μήνα αναφοράς (€ εκ.) (8)</t>
  </si>
  <si>
    <t xml:space="preserve">Εισπραχθέντες φόροι και πρόστιμα από τα βεβαιωθέντα ποσά ελέγχων προηγούμενων μηνών του τρέχοντος έτους και ελέγχων προηγούμενων ετών (€ εκ.) (9) </t>
  </si>
  <si>
    <t>Σύνολο εισπραχθέντων φόρων και προστίμων από ελέγχους (10)= (8)+(9)</t>
  </si>
  <si>
    <t>Πλήθος υποθέσεων του ΚΕΜΕΕΠ για τις οποίες γίνεται μηνυτήρια αναφορά για φοροδιαφυγή, Μηνιαία νούμερα.</t>
  </si>
  <si>
    <t>Πλήθος εντολών ελέγχου* που εκδόθηκαν από το Κ.Ε.ΜΕ.ΕΠ., κατόπιν εισαγγελικής παραγγελίας</t>
  </si>
  <si>
    <t>Πλήθος νέων εντολών ελέγχων (13) (αφορά εντολές ελέγχου που προέκυψαν κατόπιν εισαγγελικών παραγγελιών)</t>
  </si>
  <si>
    <t>Σύνολο ολοκληρωμένων ελέγχων (14) (αφορά εντολές ελέγχου που προέκυψαν κατόπιν εισαγγελικών παραγγελιών)</t>
  </si>
  <si>
    <t>Πλήθος ελέγχων σε εξέλιξη στο τέλος του μήνα αναφοράς (κατόπιν εισαγγελικής παραγγελίας) (σωρευτικά στοιχεία) (15)=(12)+(13)-(14)</t>
  </si>
  <si>
    <t>• Τα ανωτέρω δεδομένα είναι μηνιαία, εκτός του πλήθους ελέγχων σε εξέλιξη.</t>
  </si>
  <si>
    <t>*Το πλήθος των ελέγχων αφορά το συνολικό αριθμό των εντολών ελέγχου (έλεγχος ανά φορολογούμενο) που εκδόθηκαν κατόπιν εισαγγελικής παραγγελίας, καθώς μία εισαγγελική παραγγελία μπορεί να σχετίζεται με περισσότερες της μίας εντολές ελέγχου.</t>
  </si>
  <si>
    <t>B) ΠΛΗΡΕΙΣ ΕΛΕΓΧΟΙ</t>
  </si>
  <si>
    <t>C) ΜΕΡΙΚΟΙ ΕΛΕΓΧΟΙ</t>
  </si>
  <si>
    <t>Πλήθος νέων εντολών πλήρους ελέγχου (17)</t>
  </si>
  <si>
    <t>Πλήθος νέων εντολών μερικών ελέγχων (28)</t>
  </si>
  <si>
    <t>Πλήθος ολοκληρωμένων πλήρων ελέγχων  (18)</t>
  </si>
  <si>
    <t>Πλήθος ολοκληρωμένων πλήρων ελέγχων (φρέσκες υποθέσεις)</t>
  </si>
  <si>
    <t>Βεβαιωθέντες φόροι από πλήρεις ελέγχους στο μήνα αναφοράς (€ εκ.) (20)</t>
  </si>
  <si>
    <t>Βεβαιωθέντα πρόστιμα από πλήρεις ελέγχους στο μήνα αναφοράς (€ εκ.) (21)</t>
  </si>
  <si>
    <t>Σύνολο βεβαιωθέντων φόρων και προστίμων από πλήρεις ελέγχους (22)= (20)+(21)</t>
  </si>
  <si>
    <t>Εισπραχθέντες φόροι και πρόστιμα από τα βεβαιωθέντα ποσά του μήνα αναφοράς (€ εκ.) (23)</t>
  </si>
  <si>
    <t>Εισπραχθέντες φόροι και πρόστιμα από τα βεβαιωθέντα ποσά του μήνα αναφοράς (€ εκ.) (34)</t>
  </si>
  <si>
    <t xml:space="preserve">Εισπραχθέντες φόροι και πρόστιμα από τα βεβαιωθέντα ποσά ελέγχων προηγούμενων μηνών του τρέχοντος έτους και ελέγχων προηγούμενων ετών (€ εκ.) (24) </t>
  </si>
  <si>
    <t>Εισπραχθέντες φόροι και πρόστιμα από τα βεβαιωθέντα ποσά ελέγχων προηγούμενων μηνών του τρέχοντος έτους και ελέγχων προηγούμενων ετών (€ εκ.) (35)</t>
  </si>
  <si>
    <t>Σύνολο εισπραχθέντων φόρων και προστίμων από πλήρεις ελέγχους (25)= (23)+(24)</t>
  </si>
  <si>
    <t>Σύνολο εισπραχθέντων φόρων και προστίμων από μερικούς ελέγχους (36)= (34)+(35)</t>
  </si>
  <si>
    <t>Πλήθος ολοκληρωμένων μερικών ελέγχων (29)</t>
  </si>
  <si>
    <t>Πλήθος ολοκληρωμένων μερικών ελέγχων (φρέσκες υποθέσεις)</t>
  </si>
  <si>
    <t>"Παλιό" ληξιπρόθεσμο κεφάλαιο Οριστικά Ανεπίδεκτων Οφειλών(8)</t>
  </si>
  <si>
    <t>Βεβαιωθέντες φόροι από μερικούς ελέγχους στο μήνα αναφοράς (€ εκ.) (31)</t>
  </si>
  <si>
    <t>Βεβαιωθέντα πρόστιμα από μερικούς ελέγχους στο μήνα αναφοράς (€ εκ.) (32)</t>
  </si>
  <si>
    <t>Σύνολο βεβαιωθέντων φόρων και προστίμων από μερικούς ελέγχους (33)=(31)+(32)</t>
  </si>
  <si>
    <t>ΚΕΝΤΡΟ ΕΛΕΓΧΟΥ ΦΟΡΟΛΟΓΟΥΜΕΝΩΝ ΜΕΓΑΛΟΥ ΠΛΟΥΤΟΥ (ΚΕ.ΦΟ.ΜΕ.Π.)</t>
  </si>
  <si>
    <t>Γενικό Σύνολο Ελέγχων αυτοαπασχολούμενων και ατόμων μεγάλου πλούτου ,Offshore εταιρειών και Εμβασμάτων. Mηνιαία νούμερα εκτός από το πλήθος ελέγχων σε εξέλιξη</t>
  </si>
  <si>
    <t>ΚΕΝΤΡΟ ΕΛΕΓΧΟΥ ΜΕΓΑΛΩΝ ΕΠΙΧΕΙΡΗΣΕΩΝ (Κ.Ε.ΜΕ.ΕΠ.)</t>
  </si>
  <si>
    <t>Σύνολο ολοκληρωμένων ελέγχων (3)</t>
  </si>
  <si>
    <t>Πλήθος ελέγχων σε εξέλιξη στην αρχή του μήνα αναφοράς (σωρευτικά στοιχεία) (1)</t>
  </si>
  <si>
    <t>Πλήθος ελέγχων σε εξέλιξη στο τέλος του μήνα αναφοράς (σωρευτικά στοιχεία) (4)=(1)+(2)-(3)</t>
  </si>
  <si>
    <t>Πλήθος πλήρων ελέγχων σε εξέλιξη στην αρχή του μήνα αναφοράς (σωρευτικά στοιχεία) (16)</t>
  </si>
  <si>
    <t>Πλήθος πλήρων ελέγχων σε εξέλιξη στο τέλος του μήνα αναφοράς (σωρευτικά στοιχεία) (19)=(16)+(17)-(18)</t>
  </si>
  <si>
    <t>Πλήθος μερικών ελέγχων σε εξέλιξη στην αρχή του μήνα αναφοράς (σωρευτικά στοιχεία) (27)</t>
  </si>
  <si>
    <t>Πλήθος μερικών ελέγχων σε εξέλιξη στο τέλος του μήνα αναφοράς (σωρευτικά στοιχεία) (30)=(27)+(28)-(29)</t>
  </si>
  <si>
    <t>Πλήθος ελέγχων σε εξέλιξη (Σωρευτικά Στοιχεία) στην αρχή του μήνα αναφοράς (1)</t>
  </si>
  <si>
    <t>Βεβαιωθέντες φόροι (από ελέγχους) στο μήνα αναφοράς (€ εκ.) (5)</t>
  </si>
  <si>
    <t>Βεβαιωθέντα πρόστιμα (από ελέγχους) στο μήνα αναφοράς (€ εκ.)  (6)</t>
  </si>
  <si>
    <t>Σύνολο βεβαιωθέντων φόρων και προστίμων (από ελέγχους) (7)=(5)+(6)</t>
  </si>
  <si>
    <t>Εισπραχθέντα ποσά φόρων και προστίμων από τα βεβαιωθέντα ποσά του μήνα αναφοράς (€ εκ.)  (8)</t>
  </si>
  <si>
    <t>Σύνολο εισπραχθέντων φόρων και προστίμων από ελέγχους (10)=(8)+(9)</t>
  </si>
  <si>
    <t>Πλήθος υποθέσεων (έλεγχοι ανά φορολογούμενο)</t>
  </si>
  <si>
    <t>Πλήθος ελέγχων* που προέκυψαν στο ΚΕ.ΦΟ.ΜΕ.Π. κατόπιν εισαγγελικής παραγγελίας</t>
  </si>
  <si>
    <t xml:space="preserve">Πλήθος ελέγχων σε εξέλιξη (σωρευτικά στοιχεία) (11) στην αρχή του μήνα αναφοράς (εντολές ελέγχου που εκδόθηκαν κατόπιν εισαγγελικής παραγγελίας) </t>
  </si>
  <si>
    <t>ΠΑΡΑΤΗΡΗΣΕΙΣ</t>
  </si>
  <si>
    <t>Πλήθος ελέγχων σε εξέλιξη (σωρευτικά στοιχεία) στην αρχή του μήνα αναφοράς (12) (αφορά εντολές ελέγχου που προέκυψαν κατόπιν εισαγγελικών παραγγελιών)</t>
  </si>
  <si>
    <t>Πλήθος νέων εντολών ελέγχου (κατόπιν εισαγγελικής παραγγελίας)(12)</t>
  </si>
  <si>
    <t>Πλήθος ολοκληρωμένων ελέγχων (κατόπιν εισαγγελικής παραγγελίας (13)</t>
  </si>
  <si>
    <t xml:space="preserve">Πλήθος ελέγχων σε εξέλιξη στο τέλος του μήνα αναφοράς (κατόπιν εισαγγελικής παραγγελίας) (σωρευτικά στοιχεία) (14)=(11)+(12)-(13) </t>
  </si>
  <si>
    <r>
      <t xml:space="preserve">ΥΠΟΘΕΣΕΙΣ ΠΟΥ ΠΑΡΑΠΕΜΠΟΝΤΑΙ ΣΤΗ ΔΙΕΥΘΥΝΣΗ ΕΠΙΛΥΣΗΣ ΔΙΑΦΟΡΩΝ </t>
    </r>
    <r>
      <rPr>
        <b/>
        <sz val="14"/>
        <color indexed="9"/>
        <rFont val="Calibri"/>
        <family val="2"/>
        <charset val="161"/>
      </rPr>
      <t>ΑΘΗΝΑΣ</t>
    </r>
    <r>
      <rPr>
        <b/>
        <sz val="16"/>
        <color indexed="9"/>
        <rFont val="Calibri"/>
        <family val="2"/>
        <charset val="161"/>
      </rPr>
      <t xml:space="preserve"> </t>
    </r>
  </si>
  <si>
    <t>4ο Τρίμηνο 2013</t>
  </si>
  <si>
    <t>ΕΤΟΣ 2013</t>
  </si>
  <si>
    <t>1ο Τρίμηνο 2014</t>
  </si>
  <si>
    <t>2ο Τρίμηνο 2014</t>
  </si>
  <si>
    <t>ΙΑΝ-ΙΟΥΝ 2014</t>
  </si>
  <si>
    <t xml:space="preserve">3ο Τρίμηνο 2014  </t>
  </si>
  <si>
    <t>ΙΑΝ-ΣΕΠ 2014</t>
  </si>
  <si>
    <t xml:space="preserve">4ο Τρίμηνο 2014  </t>
  </si>
  <si>
    <t>ΕΤΟΣ 2014</t>
  </si>
  <si>
    <t>1ο Τρίμηνο 2015</t>
  </si>
  <si>
    <t>2ο Τρίμηνο 2015</t>
  </si>
  <si>
    <t>ΙΑΝ-ΙΟΥΝ 2015</t>
  </si>
  <si>
    <t xml:space="preserve">3ο Τρίμηνο 2015  </t>
  </si>
  <si>
    <t>ΙΑΝ-ΣΕΠ 2015</t>
  </si>
  <si>
    <t>4ο Τρίμηνο 2015</t>
  </si>
  <si>
    <t>ΕΤΟΣ 2015</t>
  </si>
  <si>
    <t>IAN</t>
  </si>
  <si>
    <t>1ο Τρίμηνο 2016</t>
  </si>
  <si>
    <t>2ο Τρίμηνο 2016</t>
  </si>
  <si>
    <t>ΕΤΟΣ 2016</t>
  </si>
  <si>
    <t>συνολικά</t>
  </si>
  <si>
    <t>ΕΚΚΡΕΜΕΙΣ ΥΠΟΘΕΣΕΙΣ (στην αρχή της περιόδου)</t>
  </si>
  <si>
    <t xml:space="preserve">Αριθ. Ενδικοφανών Προσφυγών </t>
  </si>
  <si>
    <t xml:space="preserve">Αριθ. Αιτήσεων Αναστολής καταβολής πληρωμής 50% </t>
  </si>
  <si>
    <t>ΥΠΟΘΕΣΕΙΣ ΠΟΥ ΠΑΡΑΠΕΜΠΟΝΤΑΙ ΣΤΗ Δ.Ε.Δ. (στην περίοδο)</t>
  </si>
  <si>
    <t xml:space="preserve">Αριθμός Ενδικοφανών Προσφυγών </t>
  </si>
  <si>
    <t xml:space="preserve">Αριθμός Αιτήσεων Αναστολής καταβολής πληρωμής 50% </t>
  </si>
  <si>
    <t>ΕΝΔΙΚΟΦΑΝΕΙΣ ΠΡΟΣΦΥΓΕΣ ΠΟΥ ΕΚΛΕΙΣΑΝ (στην περίοδο)</t>
  </si>
  <si>
    <t>Αριθ. Αποφάσεων που κάνουν δεκτή την προσφυγή (εν μέρει ή εν όλω)</t>
  </si>
  <si>
    <t>Αριθ. Αποφάσεων που απορρίπτουν την προσφυγή</t>
  </si>
  <si>
    <t>Αριθ. Υποθέσεων για τις οποίες δηλώθηκε παραίτηση (και μπήκαν αρχείο)</t>
  </si>
  <si>
    <t>Αριθμός Προσφυγών για τις οποίες εξέπνευσε η προβλεπόμενη από το νόμο προθεσμία εξέτασης και σιωπηρώς απορρίφθηκαν</t>
  </si>
  <si>
    <t xml:space="preserve">Ενδικ.προσφυγές ΕΠΙΔΟΜΑΤΩΝ που έκλεισαν με ρητή απόφαση (*) </t>
  </si>
  <si>
    <t>***</t>
  </si>
  <si>
    <t xml:space="preserve">έγινε δεκτή η προσφυγή </t>
  </si>
  <si>
    <t>απορρίφθηκε η προσφυγή</t>
  </si>
  <si>
    <t>ΑΙΤΗΜΑΤΑ ΑΝΑΣΤΟΛΗΣ ΚΑΤΑΒΟΛΗΣ 50% ΠΟΥ ΕΚΛΕΙΣΑΝ  (στην περίοδο)</t>
  </si>
  <si>
    <t>Αριθ. Αιτημάτων που έγιναν δεκτά</t>
  </si>
  <si>
    <t>Αριθ. Αιτημάτων που απορρίφθηκαν</t>
  </si>
  <si>
    <t>Αριθ. Αιτημάτων που έληξαν</t>
  </si>
  <si>
    <t>Από το πεδίο ΑΗ21 αφαιρέθηκαν 79 υποθέσεις που είχαν υπολογιστεί εκ παραδρομής. Παρομοίως, άλλαξε και το πεδίο ΑΤ21 που αφορά στο άθροισμα του 2015.</t>
  </si>
  <si>
    <t>(*)</t>
  </si>
  <si>
    <t>ΕΚΚΡΕΜΕΙΣ ΥΠΟΘΕΣΕΙΣ (στο τέλος της περιόδου)</t>
  </si>
  <si>
    <t xml:space="preserve">% Προσφυγές που εξετάστηκαν πριν από την προβλεπόμενη από το νόμο καταληκτική ημερομηνία (Βασικός Δείκτης - KPI) </t>
  </si>
  <si>
    <t xml:space="preserve">% Αποφάσεις που κάνουν δεκτή την προσφυγή (εν μέρει ή εν όλω) επί του συνόλου των ρητών αποφάσεων </t>
  </si>
  <si>
    <t>% Αποφάσεις που κάνουν δεκτή την προσφυγή (εν μέρει ή εν όλω) επί του συνόλου των κλεισμένων υποθέσεων (ρητές αποφάσεις + σιωπηρές απορρίψεις)</t>
  </si>
  <si>
    <t>% Aποφάσεις που κάνουν δεκτό το αίτημα αναστολής καταβολής 50%, επί συνόλου ρητών αποφάσεων</t>
  </si>
  <si>
    <t xml:space="preserve">ΠΡΟΣΦΥΓΕΣ ΠΟΥ ΥΠΟΒΛΗΘΗΚΑΝ ΣΤΑ ΔΙΚΑΣΤΗΡΙΑ ΚΑΤΟΠΙΝ ΡΗΤΗΣ ΑΠΟΦΑΣΗΣ ή ΣΙΩΠΗΡΗΣ ΑΠΟΡΡΙΨΗΣ ΤΗΣ Δ.Ε.Δ. ΑΘΗΝΑΣ </t>
  </si>
  <si>
    <t>Αριθ. Αποφάσεων Δ.Ε.Δ. (ρητών ή σιωπηρών) που προσβάλλονται στα Διοικητικά Δικαστήρια (**)</t>
  </si>
  <si>
    <t>Αριθ. Δικαστικών Προσφυγών (δικόγραφα)</t>
  </si>
  <si>
    <t>% Αποφάσεις Δ.Ε.Δ. που προσβλήθηκαν με δικαστική προσφυγή προς το σύνολο των ενδικοφανών προσφυγών που ολοκληρώθηκαν (ρητές αποφάσεις + σιωπηρές απορρίψεις) (***)</t>
  </si>
  <si>
    <t>(*) 6 εκ των 51 αιτημάτων αναστολής καταβολής 50% με σιωπηρή απόρριψη, αφορούν σε μέτρα διασφάλισης</t>
  </si>
  <si>
    <r>
      <t xml:space="preserve">(**) Με βάση τις σχετικές επιδόσεις των φορολογουμένων </t>
    </r>
    <r>
      <rPr>
        <i/>
        <sz val="9"/>
        <color indexed="60"/>
        <rFont val="Franklin Gothic Book"/>
        <family val="2"/>
        <charset val="161"/>
      </rPr>
      <t/>
    </r>
  </si>
  <si>
    <t>(***) Υπολογίζεται πάντα σωρρευτικά, από την έναρξη λειτουργίας της Δ.Ε.Δ. έως το τέλος της περιόδου που αναφέρεται στη στήλη</t>
  </si>
  <si>
    <r>
      <t>Σημείωση</t>
    </r>
    <r>
      <rPr>
        <i/>
        <sz val="9"/>
        <color indexed="8"/>
        <rFont val="Franklin Gothic Book"/>
        <family val="2"/>
        <charset val="161"/>
      </rPr>
      <t xml:space="preserve"> : Σύμφωνα με την παρ. 8 του άρθρου 63 του Ν. 4174/2013, η προσφυγή στα Διοικητικά Δικαστήρια χωρίς να προηγηθεί η διαδικασία της ενδικοφανούς προσφυγής, είναι απαράδεκτη.</t>
    </r>
  </si>
  <si>
    <r>
      <t xml:space="preserve">ΥΠΟΘΕΣΕΙΣ ΠΟΥ ΠΑΡΑΠΕΜΠΟΝΤΑΙ ΣΤΗ ΔΙΕΥΘΥΝΣΗ ΕΠΙΛΥΣΗΣ ΔΙΑΦΟΡΩΝ </t>
    </r>
    <r>
      <rPr>
        <b/>
        <sz val="14"/>
        <color indexed="9"/>
        <rFont val="Calibri"/>
        <family val="2"/>
        <charset val="161"/>
      </rPr>
      <t>ΘΕΣΣΑΛΟΝΙΚΗΣ</t>
    </r>
    <r>
      <rPr>
        <b/>
        <sz val="16"/>
        <color indexed="9"/>
        <rFont val="Calibri"/>
        <family val="2"/>
        <charset val="161"/>
      </rPr>
      <t xml:space="preserve"> </t>
    </r>
  </si>
  <si>
    <t>Αριθ. Υποθέσεων για τις οποίες δηλώθηκε παραίτηση</t>
  </si>
  <si>
    <t xml:space="preserve">% Αποφάσεις που κάνουν δεκτή την ενδικοφανή προσφυγή (εν μέρει ή εν όλω) επί του συνόλου των ρητών αποφάσεων </t>
  </si>
  <si>
    <t>% Aποφάσεις που κάνουν δεκτό το αίτημα αναστολής καταβολής του 50%, επί συνόλου ρητών αποφάσεων</t>
  </si>
  <si>
    <t xml:space="preserve">ΠΡΟΣΦΥΓΕΣ ΠΟΥ ΥΠΟΒΛΗΘΗΚΑΝ ΣΤΑ ΔΙΚΑΣΤΗΡΙΑ ΚΑΤΟΠΙΝ ΡΗΤΗΣ ΑΠΟΦΑΣΗΣ ή ΣΙΩΠΗΡΗΣ ΑΠΟΡΡΙΨΗΣ ΑΠΟ ΤΗ Δ.Ε.Δ. ΘΕΣΣΑΛΟΝΙΚΗΣ </t>
  </si>
  <si>
    <t>Αριθ. Αποφάσεων Δ.Ε.Δ. (ρητών ή σιωπηρών) που προσβάλλονται στα Διοικητικά Δικαστήρια (*)</t>
  </si>
  <si>
    <t>% Αποφάσεις Δ.Ε.Δ. που προσβλήθηκαν με δικαστική προσφυγή προς το σύνολο των ενδικοφανών προσφυγών που ολοκληρώθηκαν (ρητές αποφάσεις + σιωπηρές απορρίψεις) (**)</t>
  </si>
  <si>
    <r>
      <t xml:space="preserve">(*) Με βάση τις σχετικές επιδόσεις των φορολογουμένων </t>
    </r>
    <r>
      <rPr>
        <i/>
        <sz val="9"/>
        <color indexed="60"/>
        <rFont val="Franklin Gothic Book"/>
        <family val="2"/>
        <charset val="161"/>
      </rPr>
      <t/>
    </r>
  </si>
  <si>
    <t>(**) Υπολογίζεται πάντα σωρρευτικά, από την έναρξη λειτουργίας της Δ.Ε.Δ. έως το τέλος της περιόδου που αναφέρεται στη στήλη</t>
  </si>
  <si>
    <t>Σύνολο 2015</t>
  </si>
  <si>
    <t>Μηνυτήριες Αναφορές ως προς τα αδικήματα του άρθρου 66 του Ν.4174/2013 και Αναφορές του Ν.3691/2008.</t>
  </si>
  <si>
    <t>Πλήθος μηνυτήριων αναφορών από Δ.Ο.Υ, Ελεγκτικά Κέντρα (Κ.Ε.ΜΕ.ΕΠ, ΚΕ.ΦΟ.ΜΕ.Π) και Υ.Ε.Δ.Δ.Ε*.</t>
  </si>
  <si>
    <t>Σύνολο αναφορών για βεβαιωμένη φοροδιαφυγή προς Αρχή Καταπολέμησης της Νομιμοποίησης Εσόδων από Εγκληματικές Δραστηριότητες και Χρηματοδότησης της Τρομοκρατίας βάσει του Ν.3691/2008</t>
  </si>
  <si>
    <t xml:space="preserve">Πλήθος αναφορών για βεβαιωμένη φοροδιαφυγή άνω των 50.000 € προς Αρχή Καταπολέμησης της Νομιμοποίησης Εσόδων από Εγκληματικές Δραστηριότητες και Χρηματοδότησης της Τρομοκρατίας βάσει του Ν.3691/2008 </t>
  </si>
  <si>
    <t xml:space="preserve">Ποσά που αναλογούν στο πλήθος των αναφορών για διαπραχθέντα αδικήματα φοροδιαφυγής άνω των 50.000 €  προς Αρχή Καταπολέμησης της Νομιμοποίησης Εσόδων από Εγκληματικές Δραστηριότητες και Χρηματοδότησης της Τρομοκρατίας βάσει του Ν.3691/2008 (€ εκ.) </t>
  </si>
  <si>
    <t xml:space="preserve">Πλήθος αναφορών για χρέη προς το Δημόσιο άνω των 50.000 € προς Αρχή Καταπολέμησης της Νομιμοποίησης Εσόδων από Εγκληματικές Δραστηριότητες και Χρηματοδότησης της Τρομοκρατίας βάσει του Ν.3691/2008 </t>
  </si>
  <si>
    <t>Ποσά που σχετίζονται με το πλήθος των αναφορών  για χρέη προς το Δημόσιο άνω των 50.000 € προς Αρχή Καταπολέμησης της Νομιμοποίησης Εσόδων από Εγκληματικές Δραστηριότητες και Χρηματοδότησης της Τρομοκρατίας βάσει του Ν.3691/2008 (€ εκ.)</t>
  </si>
  <si>
    <t>*Τα δεδομένα που αφορούν στο πλήθος μηνυτήριων αναφορών από Δ.Ο.Υ ,Ελεγκτικά Κέντρα (Κ.Ε.ΜΕ.ΕΠ &amp; ΚΕ.ΦΟ.ΜΕΠ) και Υ.Ε.Δ.Δ.Ε. επικαιροποιούνται σε τριμηνιαία βάση (Μάρτιο-Ιούνιο-Σεπτέμβριο-Δεκέμβριο).</t>
  </si>
  <si>
    <t>Σύνολο 2013</t>
  </si>
  <si>
    <t>Σύνολο 2014</t>
  </si>
  <si>
    <t>Συμμόρφωση</t>
  </si>
  <si>
    <t>Εμπρόθεσμες πληρωμές Φ.Π.Α.</t>
  </si>
  <si>
    <t>Συνολικός οφειλόμενος Φ.Π.Α.</t>
  </si>
  <si>
    <t xml:space="preserve">Ποσοστό εμπρόθεσμων πληρωμών Φ.Π.Α. </t>
  </si>
  <si>
    <t>Εμπρόθεσμες πληρωμές Φ.Ε.Φ.Π.</t>
  </si>
  <si>
    <t>Συνολικός οφειλόμενος Φ.Ε.Φ.Π.</t>
  </si>
  <si>
    <t xml:space="preserve">Ποσοστό εμπρόθεσμων πληρωμών Φ.Ε.Φ.Π. </t>
  </si>
  <si>
    <t>Εμπρόθεσμες πληρωμές Φ.Ε.Ν.Π.</t>
  </si>
  <si>
    <t>Συνολικός οφειλόμενος Φ.Ε.Ν.Π.</t>
  </si>
  <si>
    <t>Ποσοστό εμπρόθεσμων πληρωμών Φ.Ε.Ν.Π.</t>
  </si>
  <si>
    <t>Εμπρόθεσμες πληρωμές φόρου ακίνητης περιουσίας (I)</t>
  </si>
  <si>
    <t>Συνολικός οφειλόμενος φόρος ακίνητης περιουσίας</t>
  </si>
  <si>
    <t>Ποσοστό εμπρόθεσμων πληρωμών φόρου ακίνητης περιουσίας</t>
  </si>
  <si>
    <t>Ποσοστό εμπρόθεσμων πληρωμών (συνολικά για Φ.Π.Α., Φ.Ε.Φ.Π., Φ.Ε.Ν.Π.) (KPI 8)</t>
  </si>
  <si>
    <t>Αναγκαστικά μέτρα είσπραξης</t>
  </si>
  <si>
    <t>Συνολικός αριθμός οφειλετών</t>
  </si>
  <si>
    <t>Οφειλέτες στους οποίους δύναται να ληφθούν αναγκαστικά μέτρα είσπραξης</t>
  </si>
  <si>
    <t xml:space="preserve">Οφειλέτες υπό αναγκαστικά μέτρα είσπραξης </t>
  </si>
  <si>
    <t>Ποσοστό οφειλετών υπό αναγκαστικά μέτρα είσπραξης (KPI 9)</t>
  </si>
  <si>
    <t>I. Τα διαθέσιμα στοιχεία, μέχρι στιγμής, αφορούν αποκλειστικά  τον ΕΝ.Φ.Ι.Α. και θα επικαιροποιηθούν, συμπεριλαμβάνοντας τους λοιπούς φόρους ιδιοκτησίας ακινήτων, όταν τα εν λόγω στοιχεία καταστούν διαθέσιμα.</t>
  </si>
  <si>
    <t>Αναστολή λειτουργίας Δ.Ο.Υ.</t>
  </si>
  <si>
    <t>Κατά το έτος 2016 δεν προβλέπεται καμία οργανωτική αλλαγή, που να αφορά σε σύσταση, κατάργηση ή αναστολή λειτουργίας Δ.Ο.Υ. (ή επιμέρους Τμημάτων τους) ή σε υποβιβασμό αυτών από Α Τάξης (επιπέδου Διεύθυνσης) σε Α - Β (επιπέδου Διεύθυνσης) ή σε Β τάξης (επιπέδου Τμήματος)</t>
  </si>
  <si>
    <t>Κ.Ε.ΜΕ.ΕΠ (Σωρευτικά νούμερα)</t>
  </si>
  <si>
    <t>Πλήθος Υποδιευθυντών (1)</t>
  </si>
  <si>
    <t>Πλήθος Εποπτών (2)</t>
  </si>
  <si>
    <t>Πλήθος Ελεγκτών (3)</t>
  </si>
  <si>
    <t>Σύνολο Ελεγκτικού Δυναμικού (1)+(2)+(3)</t>
  </si>
  <si>
    <t>Πλήθος Διοικητικού Προσωπικού</t>
  </si>
  <si>
    <t>ELENXIS σε λειτουργία*</t>
  </si>
  <si>
    <t>ΚΕ.ΦΟ.ΜΕΠ -Έλεγχοι Φορολογούμενων Μεγάλου Πλούτου
(Σωρευτικά στοιχεία)</t>
  </si>
  <si>
    <t>Υ.Ε.Δ.Δ.Ε. (Σωρευτικά στοιχεία)</t>
  </si>
  <si>
    <t>Πρόσληψη νέων ελεγκτών Μηνιαία Νούμερα</t>
  </si>
  <si>
    <t>Πλήθος ελεγκτών που προσλήφθηκαν</t>
  </si>
  <si>
    <t>Επιχειρησιακή Μονάδα Είσπραξης Μηνιαία Νούμερα</t>
  </si>
  <si>
    <t>Διευθυντής - Τμηματάρχες (1)</t>
  </si>
  <si>
    <t>Πλήθος Ελεγκτών (2)</t>
  </si>
  <si>
    <t>Σύνολο (1)+(2)</t>
  </si>
  <si>
    <t>Εσωτερικοί έλεγχοι Περιουσιακής Κατάστασης Μηνιαία Νούμερα</t>
  </si>
  <si>
    <t>Πλήθος ολοκληρωμένων ελέγχων Δ/ντών - Υποδ/ντών - Εποπτών – Τμηματαρχών</t>
  </si>
  <si>
    <t>Πλήθος ολοκληρωμένων ελέγχων Ελεγκτών - Υπαλλήλων</t>
  </si>
  <si>
    <t xml:space="preserve">Εισπραξιμότητα έναντι νέου ληξιπρόθεσμου χρέους </t>
  </si>
  <si>
    <t xml:space="preserve">Ποσοστό ελέγχων φρέσκων υποθέσεων στο σύνολο των ολοκληρωμένων ελέγχων </t>
  </si>
  <si>
    <t>Ποσοστό αιτημάτων επιστροφής Φ.Π.Α. που πληρώθηκαν ή/και απορρίφθηκαν εντός 90 ημερών</t>
  </si>
  <si>
    <t xml:space="preserve">Εισπραξιμότητα ελέγχων Κ.Ε.ΦΟ.ΜΕ.Π. </t>
  </si>
  <si>
    <t>ΙV.  Τα αναφερόμενα στοιχεία για το έτος 2016 είναι σωρρευτικά.</t>
  </si>
  <si>
    <t xml:space="preserve">Διαγραφές έναντι "παλιού" ληξιπρόθεσμου χρέους (€ δις) </t>
  </si>
  <si>
    <t xml:space="preserve">Διαγραφές έναντι "νέου" ληξιπρόθεσμου χρέους με εξαίρεση των μη φορολογικών κατηγοριών (€ δις) (16) </t>
  </si>
  <si>
    <t>Α. Δείκτες απόδοσης</t>
  </si>
  <si>
    <t>Ποσοστό ελέγχων φρέσκων υποθέσεων στο σύνολο των ολοκληρωμένων ελέγχων (11)=(10a+10b)/(5a+5b)  (KPI 4)</t>
  </si>
  <si>
    <t xml:space="preserve">Σύνολο </t>
  </si>
  <si>
    <t xml:space="preserve">B. Δείκτες απόδοσης </t>
  </si>
  <si>
    <t xml:space="preserve">Γ. Δείκτες απόδοσης </t>
  </si>
  <si>
    <t>2013
τέλος έτους</t>
  </si>
  <si>
    <t xml:space="preserve">Πλήθος υποθέσεων του ΚΕ.ΦΟ.ΜΕΠ για τις οποίες γίνεται μηνυτήρια αναφορά για φοροδιαφυγή, Μηνιαία Νούμερα.     </t>
  </si>
  <si>
    <t xml:space="preserve">Δ. Δείκτες απόδοσης </t>
  </si>
  <si>
    <t xml:space="preserve">Ε. Δείκτες απόδοσης </t>
  </si>
  <si>
    <t xml:space="preserve">Η. Δείκτες απόδοσης </t>
  </si>
  <si>
    <t>Ποσοστό (%) αιτημάτων επιστροφής Φ.Π.Α. που πληρώθηκαν ή/και απορρίφθηκαν εντός 90 ημερών (KPI 7)</t>
  </si>
  <si>
    <t xml:space="preserve">Α. Δείκτες απόδοσης </t>
  </si>
  <si>
    <t xml:space="preserve"> "Παλιό" ληξιπρόθεσμο κεφάλαιο Λοιπών Οφειλετών (€ δις) (7) (IV)</t>
  </si>
  <si>
    <t>IV. Tο "παλιό" ληξιπρόθεσμο κεφάλαιο λοιπών οφειλετών αφορά  στο "παλιό" ληξιπρόθεσμο κεφάλαιο ανενεργών με διακοπή &amp; παύση εργασιών φορολογουμένων.</t>
  </si>
  <si>
    <t>Ποσοστό (%) είσπραξης προς συνολική βεβαίωση (37)=(36)/(33)*</t>
  </si>
  <si>
    <t>Ποσοστό (%) είσπραξης προς συνολική βεβαίωση (26)=(25)/(22)*</t>
  </si>
  <si>
    <t>Παρατήρηση:
*Για τον υπολογισμό του δέκτη στον αριθμητή περιλαμβάνονται τα ποσά που εισπράχθηκαν από βεβαιίωση της περίοδου αναφοράς ή από βεβαίωση προηγούμενων ετών, ενώ ο παρανομαστής περιλαμβάνει τη βεβαίωση της περίοδου αναφοράς. Για το λόγο αυτό ο δείκτης ενδέχεται να ξεπερνά το 100%.</t>
  </si>
  <si>
    <t>Ποσοστό (%) είσπραξης προς συνολική βεβαίωση  (KPI 6)*</t>
  </si>
  <si>
    <t>*Για τον υπολογισμό του δέκτη στον αριθμητή περιλαμβάνονται τα ποσά που εισπράχθηκαν από βεβαιίωση της περίοδου αναφοράς ή από βεβαίωση προηγούμενων ετών, ενώ ο παρανομαστής περιλαμβάνει τη βεβαίωση της περίοδου αναφοράς. Για το λόγο αυτό ο δείκτης ενδέχεται να ξεπερνά το 100%.</t>
  </si>
  <si>
    <t>Ποσοστό (%) είσπραξης προς συνολική βεβαίωση (11)=(10)/(7) (KPI 5)*</t>
  </si>
  <si>
    <t>Πλήθος λοιπών ερευνών σε εξέλιξη στην αρχή του μήνα αναφοράς (8)</t>
  </si>
  <si>
    <t>Πλήθος νέων λοιπών ερευνών που ξεκίνησαν τον μήνα αναφοράς (9)</t>
  </si>
  <si>
    <t>Πλήθος ολοκληρωμένων λοιπών ερευνών (10)</t>
  </si>
  <si>
    <t>Πλήθος λοιπών ερευνών σε εξέλιξη στο τέλος του μήνα αναφοράς (11)=(8)+(9)-(10)</t>
  </si>
  <si>
    <t>Διαφυγόντα έσοδα που εντοπίστηκαν από λοιπές έρευνες (12)</t>
  </si>
  <si>
    <t>Συνολικό πλήθος ολοκληρωμένων ερευνών (15)=(3)+(10)</t>
  </si>
  <si>
    <t>Πλήθος επιχειρήσεων στις οποίες εντοπίστηκαν παραβάσεις (από ολοκληρωμένες έρευνες) (16)</t>
  </si>
  <si>
    <t>Συνολικά διαφυγόντα έσοδα που εντοπίστηκαν από έρευνες (17)=(5)+(12)</t>
  </si>
  <si>
    <t>Προληπτικοί έλεγχοι</t>
  </si>
  <si>
    <t>Πλήθος επιχειρήσεων στις οποίες εντοπίστηκαν παραβάσεις (από στοχευμένους προληπτικούς ελέγχους) (22)</t>
  </si>
  <si>
    <t>Υ.Ε.Δ.Δ.Ε.</t>
  </si>
  <si>
    <t>Πλήθος ελέγχων* που υποβλήθηκαν στην Υ.Ε.Δ.Δ.Ε. κατόπιν  εισαγγελικής παραγγελίας)</t>
  </si>
  <si>
    <t>Συνολικά διαφυγόντα έσοδα που εντοπίστηκαν από ελέγχους κατόπιν εισαγγελικής παραγγελίας (€ εκατ)</t>
  </si>
  <si>
    <t>III. Τα αναφερόμενα στοιχεία για το έτος 2016 είναι σωρρευτικά.</t>
  </si>
  <si>
    <t>V. Η Ε.Μ.ΕΙΣ. xρεώνεται νέα Α.Φ.Μ. κάθε δίμηνο με την απόφαση της "Ροής" και συνεπώς το ληξιπρόθεσμο βαίνει αυξανόμενο.</t>
  </si>
  <si>
    <t>Παρακολούθηση Φορολογικής Διοίκησης: Είσπραξη ληξιπρόθεσμων οφειλών</t>
  </si>
  <si>
    <t>Παρακολούθηση Φορολογικής Διοίκησης: Είσπραξη ληξιπρόθεσμων οφειλών από Ε.Μ.ΕΙΣ.</t>
  </si>
  <si>
    <t>Παρακολούθηση Φορολογικής Διοίκησης: Έλεγχοι "Φρέσκων" υποθέσεων</t>
  </si>
  <si>
    <t>Παρακολούθηση Φορολογικής Διοίκησης: Κ.Ε.ΜΕ.ΕΠ.</t>
  </si>
  <si>
    <t>Παρακολούθηση Φορολογικής Διοίκησης: Κ.Ε.ΦΟ.ΜΕ.Π.</t>
  </si>
  <si>
    <t>Παρακολούθηση Φορολογικής Διοίκησης: Υ.Ε.Δ.Δ.Ε.</t>
  </si>
  <si>
    <t>Παρακολούθηση Φορολογικής Διοίκησης: Επιστροφές φόρων</t>
  </si>
  <si>
    <t>Παρακολούθηση Φορολογικής Διοίκησης: Ανθρώπινο Δυναμικό &amp; Εσωτερικοί Έλεγχοι</t>
  </si>
  <si>
    <t>Παρακολούθηση Φορολογικής Διοίκησης : Μηνυτήριες Αναφορές ως προς τα αδικήματα του άρθρου 66 του Ν.4174/2013 και Αναφορές του Ν.3691/2008.</t>
  </si>
  <si>
    <t>Αριθμός ΑΦΜ (φυσικών προσώπων, εταιρειών) που έχουν απενεργοποιηθεί ως εξαφανισμένοι έμποροι</t>
  </si>
  <si>
    <t>Πλήθος υποθέσεων σε εξέλιξη (σωρευτικα στοιχεία) στην αρχή του μήνα αναφοράς (25) (εντολές ελέγχου που εκδόθηκαν κατόπιν εισαγγελικής παραγγελίας)</t>
  </si>
  <si>
    <t>Πλήθος (26) νέων εντολών ελέγχου (κατόπιν εισαγγελικής παραγγελίας)</t>
  </si>
  <si>
    <t>Πλήθος ολοκληρωμένων ελέγχων (27) (κατόπιν εισαγγελικής παραγγελίας)</t>
  </si>
  <si>
    <t>Πλήθος ελέγχων σε εξέλιξη (σωρευτικα στοιχεία) στο τέλος του μήνα (28) = (25) + (26) - (27)  (κατόπιν εισαγγελικής παραγγελίας)</t>
  </si>
  <si>
    <t xml:space="preserve">Παρακολούθηση Φορολογικής Διοίκησης: Συμμόρφωση </t>
  </si>
  <si>
    <t>Παρακολούθηση Φορολογικής Διοίκησης: Αναγκαστικά Μέτρα Είσπραξης</t>
  </si>
  <si>
    <t>I. Τα δεδομένα για το KPI 9 είναι σωρευτικά.</t>
  </si>
  <si>
    <t>• Οι επανέλεγχοι εντάχθηκαν στην κατηγορία των πλήρων ελέγχων και οι διασταυρωτικοί εντάχθηκαν στην κατηγορία των μερικών ελέγχων.</t>
  </si>
  <si>
    <t>Πλήθος στοχευμένων μερικών επιτόπιων ελέγχων  κατά το μήνα αναφοράς (20)</t>
  </si>
  <si>
    <t xml:space="preserve">
Αριθμός ολοκληρωμένων μερικών επιτόπιων ελέγχων κατά το μήνα αναφοράς (21) </t>
  </si>
  <si>
    <t>• Αναφορικά με τις εισαγγελικές παραγγελίες, τα στοιχεία αφορούν υποθέσεις και όχι Α.Φ.Μ., αφού η κάθε εκδοθείσα εντολή αφορά υπόθεση που μπορεί να περιλαμβάνει πολλαπλάσιο αριθμό Α.Φ.Μ. για έλεγχο.</t>
  </si>
  <si>
    <t>ΑΠΟΤΕΛΕΣΜΑ</t>
  </si>
  <si>
    <r>
      <t xml:space="preserve">Εισπράξεις έναντι παλαιού ληξιπρόθεσμου χρέους (σε εκ. </t>
    </r>
    <r>
      <rPr>
        <sz val="9"/>
        <rFont val="Calibri"/>
        <family val="2"/>
        <charset val="161"/>
      </rPr>
      <t>€</t>
    </r>
    <r>
      <rPr>
        <sz val="9"/>
        <rFont val="Arial"/>
        <family val="2"/>
        <charset val="16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</si>
</sst>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00_);_(* \(#,##0.00\);_(* &quot;-&quot;??_);_(@_)"/>
    <numFmt numFmtId="165" formatCode="0.000"/>
    <numFmt numFmtId="166" formatCode="0.0"/>
    <numFmt numFmtId="167" formatCode="0.0%"/>
    <numFmt numFmtId="168" formatCode="0.000,,,"/>
    <numFmt numFmtId="169" formatCode="_-* #,##0\ _€_-;\-* #,##0\ _€_-;_-* &quot;-&quot;??\ _€_-;_-@_-"/>
    <numFmt numFmtId="170" formatCode="_-* #,##0.00\ _€_-;\-* #,##0.00\ _€_-;_-* \-??\ _€_-;_-@_-"/>
    <numFmt numFmtId="171" formatCode="_-* #,##0.00&quot; €&quot;_-;\-* #,##0.00&quot; €&quot;_-;_-* \-??&quot; €&quot;_-;_-@_-"/>
    <numFmt numFmtId="172" formatCode="#,##0.00&quot; €&quot;"/>
    <numFmt numFmtId="173" formatCode="_-* #,##0.00_-;\-* #,##0.00_-;_-* \-??_-;_-@_-"/>
    <numFmt numFmtId="174" formatCode="_-* #,##0_-;\-* #,##0_-;_-* \-??_-;_-@_-"/>
    <numFmt numFmtId="175" formatCode="#,##0.000"/>
    <numFmt numFmtId="176" formatCode="_(* #,##0_);_(* \(#,##0\);_(* &quot;-&quot;??_);_(@_)"/>
    <numFmt numFmtId="177" formatCode="0.00,,"/>
    <numFmt numFmtId="178" formatCode="#,##0.0000"/>
  </numFmts>
  <fonts count="130">
    <font>
      <sz val="11"/>
      <color theme="1"/>
      <name val="Calibri"/>
      <family val="2"/>
      <charset val="161"/>
      <scheme val="minor"/>
    </font>
    <font>
      <sz val="11"/>
      <color theme="1"/>
      <name val="Calibri"/>
      <family val="2"/>
      <charset val="161"/>
      <scheme val="minor"/>
    </font>
    <font>
      <sz val="11"/>
      <color indexed="8"/>
      <name val="Calibri"/>
      <family val="2"/>
      <charset val="161"/>
    </font>
    <font>
      <b/>
      <sz val="10"/>
      <name val="Arial"/>
      <family val="2"/>
      <charset val="161"/>
    </font>
    <font>
      <sz val="10"/>
      <name val="Arial"/>
      <family val="2"/>
      <charset val="161"/>
    </font>
    <font>
      <b/>
      <sz val="8"/>
      <name val="Arial"/>
      <family val="2"/>
      <charset val="161"/>
    </font>
    <font>
      <sz val="8"/>
      <name val="Arial"/>
      <family val="2"/>
      <charset val="161"/>
    </font>
    <font>
      <b/>
      <i/>
      <sz val="8"/>
      <name val="Arial"/>
      <family val="2"/>
      <charset val="161"/>
    </font>
    <font>
      <sz val="10"/>
      <name val="Arial Greek"/>
      <charset val="161"/>
    </font>
    <font>
      <b/>
      <sz val="9"/>
      <name val="Arial"/>
      <family val="2"/>
      <charset val="161"/>
    </font>
    <font>
      <sz val="9"/>
      <name val="Helvetica Neue"/>
    </font>
    <font>
      <b/>
      <sz val="9"/>
      <color theme="0"/>
      <name val="Arial"/>
      <family val="2"/>
      <charset val="161"/>
    </font>
    <font>
      <sz val="9"/>
      <name val="Arial"/>
      <family val="2"/>
      <charset val="161"/>
    </font>
    <font>
      <b/>
      <i/>
      <sz val="9"/>
      <name val="Arial"/>
      <family val="2"/>
      <charset val="161"/>
    </font>
    <font>
      <sz val="9"/>
      <name val="Calibri"/>
      <family val="2"/>
      <charset val="161"/>
    </font>
    <font>
      <sz val="9"/>
      <color indexed="8"/>
      <name val="Calibri"/>
      <family val="2"/>
      <charset val="161"/>
    </font>
    <font>
      <b/>
      <sz val="9"/>
      <name val="Tahoma"/>
      <family val="2"/>
      <charset val="161"/>
    </font>
    <font>
      <sz val="9"/>
      <name val="Tahoma"/>
      <family val="2"/>
      <charset val="161"/>
    </font>
    <font>
      <b/>
      <sz val="9"/>
      <color theme="0"/>
      <name val="Tahoma"/>
      <family val="2"/>
      <charset val="161"/>
    </font>
    <font>
      <b/>
      <i/>
      <sz val="9"/>
      <name val="Tahoma"/>
      <family val="2"/>
      <charset val="161"/>
    </font>
    <font>
      <b/>
      <sz val="9"/>
      <color theme="3" tint="0.79998168889431442"/>
      <name val="Tahoma"/>
      <family val="2"/>
      <charset val="161"/>
    </font>
    <font>
      <sz val="11"/>
      <name val="Arial"/>
      <family val="2"/>
      <charset val="161"/>
    </font>
    <font>
      <sz val="9"/>
      <color indexed="9"/>
      <name val="Helvetica Neue"/>
    </font>
    <font>
      <b/>
      <sz val="9"/>
      <color theme="1"/>
      <name val="Arial"/>
      <family val="2"/>
      <charset val="161"/>
    </font>
    <font>
      <sz val="9"/>
      <color theme="1"/>
      <name val="Calibri"/>
      <family val="2"/>
      <charset val="161"/>
      <scheme val="minor"/>
    </font>
    <font>
      <b/>
      <u/>
      <sz val="9"/>
      <color theme="0"/>
      <name val="Arial"/>
      <family val="2"/>
      <charset val="161"/>
    </font>
    <font>
      <sz val="9"/>
      <color indexed="8"/>
      <name val="Helvetica Neue"/>
    </font>
    <font>
      <b/>
      <sz val="9"/>
      <color indexed="8"/>
      <name val="Helvetica Neue"/>
    </font>
    <font>
      <sz val="9"/>
      <color indexed="8"/>
      <name val="Arial"/>
      <family val="2"/>
      <charset val="161"/>
    </font>
    <font>
      <sz val="9"/>
      <color theme="1"/>
      <name val="Arial"/>
      <family val="2"/>
      <charset val="161"/>
    </font>
    <font>
      <sz val="11"/>
      <color indexed="9"/>
      <name val="Arial"/>
      <family val="2"/>
      <charset val="161"/>
    </font>
    <font>
      <i/>
      <sz val="9"/>
      <name val="Tahoma"/>
      <family val="2"/>
      <charset val="161"/>
    </font>
    <font>
      <b/>
      <i/>
      <sz val="9"/>
      <color theme="0"/>
      <name val="Tahoma"/>
      <family val="2"/>
      <charset val="161"/>
    </font>
    <font>
      <i/>
      <sz val="9"/>
      <color indexed="9"/>
      <name val="Helvetica Neue"/>
    </font>
    <font>
      <i/>
      <sz val="9"/>
      <color theme="1"/>
      <name val="Calibri"/>
      <family val="2"/>
      <charset val="161"/>
      <scheme val="minor"/>
    </font>
    <font>
      <i/>
      <sz val="9"/>
      <name val="Calibri"/>
      <family val="2"/>
      <charset val="161"/>
    </font>
    <font>
      <i/>
      <sz val="9"/>
      <color indexed="8"/>
      <name val="Helvetica Neue"/>
    </font>
    <font>
      <sz val="8"/>
      <color theme="1"/>
      <name val="Arial"/>
      <family val="2"/>
      <charset val="161"/>
    </font>
    <font>
      <b/>
      <sz val="9"/>
      <name val="Arial"/>
      <family val="2"/>
    </font>
    <font>
      <i/>
      <sz val="9"/>
      <color indexed="9"/>
      <name val="Arial"/>
      <family val="2"/>
    </font>
    <font>
      <sz val="9"/>
      <name val="Arial"/>
      <family val="2"/>
    </font>
    <font>
      <sz val="9"/>
      <color indexed="9"/>
      <name val="Arial"/>
      <family val="2"/>
    </font>
    <font>
      <sz val="9"/>
      <color theme="1"/>
      <name val="Arial"/>
      <family val="2"/>
    </font>
    <font>
      <b/>
      <sz val="9"/>
      <color theme="1"/>
      <name val="Arial"/>
      <family val="2"/>
    </font>
    <font>
      <b/>
      <sz val="9"/>
      <color indexed="8"/>
      <name val="Arial"/>
      <family val="2"/>
    </font>
    <font>
      <sz val="9"/>
      <color indexed="8"/>
      <name val="Arial"/>
      <family val="2"/>
    </font>
    <font>
      <b/>
      <sz val="11"/>
      <color theme="1"/>
      <name val="Calibri"/>
      <family val="2"/>
      <charset val="161"/>
      <scheme val="minor"/>
    </font>
    <font>
      <b/>
      <sz val="9"/>
      <color theme="0"/>
      <name val="Arial"/>
      <family val="2"/>
    </font>
    <font>
      <b/>
      <i/>
      <sz val="9"/>
      <name val="Arial"/>
      <family val="2"/>
    </font>
    <font>
      <b/>
      <i/>
      <sz val="9"/>
      <color theme="0"/>
      <name val="Arial"/>
      <family val="2"/>
    </font>
    <font>
      <i/>
      <sz val="9"/>
      <name val="Arial"/>
      <family val="2"/>
    </font>
    <font>
      <b/>
      <sz val="9"/>
      <color indexed="9"/>
      <name val="Arial"/>
      <family val="2"/>
    </font>
    <font>
      <b/>
      <i/>
      <sz val="9"/>
      <color theme="1"/>
      <name val="Arial"/>
      <family val="2"/>
    </font>
    <font>
      <b/>
      <sz val="9"/>
      <name val="Tahoma"/>
      <family val="2"/>
    </font>
    <font>
      <b/>
      <sz val="9"/>
      <name val="Helvetica Neue"/>
    </font>
    <font>
      <b/>
      <sz val="16"/>
      <color indexed="9"/>
      <name val="Calibri"/>
      <family val="2"/>
      <charset val="161"/>
    </font>
    <font>
      <sz val="11"/>
      <color indexed="9"/>
      <name val="Calibri"/>
      <family val="2"/>
      <charset val="161"/>
    </font>
    <font>
      <b/>
      <u/>
      <sz val="11"/>
      <color indexed="9"/>
      <name val="Calibri"/>
      <family val="2"/>
      <charset val="161"/>
    </font>
    <font>
      <b/>
      <sz val="10"/>
      <name val="Calibri"/>
      <family val="2"/>
      <charset val="161"/>
    </font>
    <font>
      <b/>
      <sz val="11"/>
      <color indexed="9"/>
      <name val="Calibri"/>
      <family val="2"/>
      <charset val="161"/>
    </font>
    <font>
      <sz val="10"/>
      <color indexed="8"/>
      <name val="Calibri"/>
      <family val="2"/>
      <charset val="161"/>
    </font>
    <font>
      <sz val="10"/>
      <name val="Calibri"/>
      <family val="2"/>
      <charset val="161"/>
    </font>
    <font>
      <b/>
      <sz val="9"/>
      <name val="Calibri"/>
      <family val="2"/>
      <charset val="161"/>
    </font>
    <font>
      <b/>
      <i/>
      <sz val="9"/>
      <name val="Calibri"/>
      <family val="2"/>
      <charset val="161"/>
    </font>
    <font>
      <i/>
      <sz val="9"/>
      <color indexed="8"/>
      <name val="Calibri"/>
      <family val="2"/>
      <charset val="161"/>
    </font>
    <font>
      <i/>
      <sz val="10"/>
      <name val="Calibri"/>
      <family val="2"/>
      <charset val="161"/>
    </font>
    <font>
      <i/>
      <sz val="11"/>
      <color indexed="8"/>
      <name val="Calibri"/>
      <family val="2"/>
      <charset val="161"/>
    </font>
    <font>
      <b/>
      <sz val="10"/>
      <color indexed="8"/>
      <name val="Calibri"/>
      <family val="2"/>
      <charset val="161"/>
    </font>
    <font>
      <b/>
      <sz val="12"/>
      <color indexed="9"/>
      <name val="Calibri"/>
      <family val="2"/>
      <charset val="161"/>
    </font>
    <font>
      <sz val="8"/>
      <color indexed="8"/>
      <name val="Calibri"/>
      <family val="2"/>
      <charset val="161"/>
    </font>
    <font>
      <i/>
      <sz val="10"/>
      <color indexed="8"/>
      <name val="Garamond"/>
      <family val="1"/>
      <charset val="1"/>
    </font>
    <font>
      <i/>
      <sz val="10"/>
      <color indexed="9"/>
      <name val="Garamond"/>
      <family val="1"/>
      <charset val="1"/>
    </font>
    <font>
      <i/>
      <sz val="9"/>
      <color indexed="8"/>
      <name val="Franklin Gothic Book"/>
      <family val="2"/>
      <charset val="161"/>
    </font>
    <font>
      <i/>
      <u/>
      <sz val="9"/>
      <color indexed="8"/>
      <name val="Franklin Gothic Book"/>
      <family val="2"/>
      <charset val="161"/>
    </font>
    <font>
      <b/>
      <sz val="12"/>
      <name val="Calibri"/>
      <family val="2"/>
      <charset val="161"/>
    </font>
    <font>
      <sz val="10"/>
      <name val="Wingdings 3"/>
      <family val="1"/>
      <charset val="2"/>
    </font>
    <font>
      <sz val="9"/>
      <name val="Tahoma"/>
      <family val="2"/>
    </font>
    <font>
      <b/>
      <sz val="9"/>
      <color indexed="8"/>
      <name val="Tahoma"/>
      <family val="2"/>
      <charset val="161"/>
    </font>
    <font>
      <b/>
      <sz val="9"/>
      <color indexed="8"/>
      <name val="Tahoma"/>
      <family val="2"/>
    </font>
    <font>
      <sz val="10"/>
      <name val="Arial"/>
      <family val="2"/>
    </font>
    <font>
      <b/>
      <sz val="11"/>
      <color theme="1"/>
      <name val="Calibri"/>
      <family val="2"/>
      <scheme val="minor"/>
    </font>
    <font>
      <sz val="8"/>
      <name val="Arial"/>
      <family val="2"/>
    </font>
    <font>
      <b/>
      <sz val="9"/>
      <color indexed="9"/>
      <name val="Arial"/>
      <family val="2"/>
      <charset val="161"/>
    </font>
    <font>
      <i/>
      <sz val="8"/>
      <name val="Arial"/>
      <family val="2"/>
      <charset val="161"/>
    </font>
    <font>
      <i/>
      <sz val="9"/>
      <color indexed="9"/>
      <name val="Calibri"/>
      <family val="2"/>
      <charset val="161"/>
    </font>
    <font>
      <sz val="10"/>
      <color indexed="9"/>
      <name val="Calibri"/>
      <family val="2"/>
      <charset val="161"/>
    </font>
    <font>
      <b/>
      <sz val="10"/>
      <color theme="1" tint="0.34998626667073579"/>
      <name val="Calibri"/>
      <family val="2"/>
      <charset val="161"/>
    </font>
    <font>
      <sz val="10"/>
      <color indexed="42"/>
      <name val="Calibri"/>
      <family val="2"/>
      <charset val="161"/>
    </font>
    <font>
      <sz val="8"/>
      <color indexed="22"/>
      <name val="Calibri"/>
      <family val="2"/>
      <charset val="161"/>
    </font>
    <font>
      <b/>
      <sz val="10"/>
      <color rgb="FF0070C0"/>
      <name val="Calibri"/>
      <family val="2"/>
      <charset val="161"/>
    </font>
    <font>
      <sz val="10"/>
      <color theme="0"/>
      <name val="Wingdings 3"/>
      <family val="1"/>
      <charset val="2"/>
    </font>
    <font>
      <sz val="11"/>
      <color theme="0"/>
      <name val="Calibri"/>
      <family val="2"/>
      <charset val="161"/>
    </font>
    <font>
      <sz val="10"/>
      <color rgb="FFFF0000"/>
      <name val="Calibri"/>
      <family val="2"/>
      <charset val="161"/>
    </font>
    <font>
      <u/>
      <sz val="10"/>
      <color indexed="8"/>
      <name val="Calibri"/>
      <family val="2"/>
      <charset val="161"/>
    </font>
    <font>
      <b/>
      <u/>
      <sz val="11"/>
      <color indexed="8"/>
      <name val="Calibri"/>
      <family val="2"/>
      <charset val="161"/>
    </font>
    <font>
      <b/>
      <u/>
      <sz val="10"/>
      <name val="Calibri"/>
      <family val="2"/>
      <charset val="161"/>
    </font>
    <font>
      <b/>
      <u/>
      <sz val="10"/>
      <color indexed="8"/>
      <name val="Calibri"/>
      <family val="2"/>
      <charset val="161"/>
    </font>
    <font>
      <i/>
      <sz val="9"/>
      <color theme="1"/>
      <name val="Calibri"/>
      <family val="2"/>
      <charset val="161"/>
    </font>
    <font>
      <b/>
      <i/>
      <sz val="9"/>
      <color indexed="9"/>
      <name val="Calibri"/>
      <family val="2"/>
      <charset val="161"/>
    </font>
    <font>
      <b/>
      <sz val="9"/>
      <color rgb="FFFF0000"/>
      <name val="Arial"/>
      <family val="2"/>
      <charset val="161"/>
    </font>
    <font>
      <b/>
      <i/>
      <sz val="8"/>
      <name val="Arial"/>
      <family val="2"/>
    </font>
    <font>
      <i/>
      <sz val="9"/>
      <color theme="1"/>
      <name val="Arial"/>
      <family val="2"/>
      <charset val="161"/>
    </font>
    <font>
      <b/>
      <sz val="14"/>
      <color indexed="9"/>
      <name val="Calibri"/>
      <family val="2"/>
      <charset val="161"/>
    </font>
    <font>
      <i/>
      <sz val="9"/>
      <color indexed="60"/>
      <name val="Franklin Gothic Book"/>
      <family val="2"/>
      <charset val="161"/>
    </font>
    <font>
      <b/>
      <u/>
      <sz val="11"/>
      <color theme="0"/>
      <name val="Calibri"/>
      <family val="2"/>
      <charset val="161"/>
    </font>
    <font>
      <b/>
      <sz val="10"/>
      <color indexed="9"/>
      <name val="Calibri"/>
      <family val="2"/>
      <charset val="161"/>
    </font>
    <font>
      <b/>
      <sz val="11"/>
      <name val="Calibri"/>
      <family val="2"/>
      <charset val="161"/>
    </font>
    <font>
      <i/>
      <sz val="9"/>
      <name val="Franklin Gothic Book"/>
      <family val="2"/>
      <charset val="161"/>
    </font>
    <font>
      <sz val="9"/>
      <color theme="0"/>
      <name val="Arial"/>
      <family val="2"/>
      <charset val="161"/>
    </font>
    <font>
      <i/>
      <sz val="8"/>
      <color theme="1"/>
      <name val="Arial"/>
      <family val="2"/>
    </font>
    <font>
      <b/>
      <sz val="9"/>
      <color indexed="8"/>
      <name val="Arial"/>
      <family val="2"/>
      <charset val="161"/>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006100"/>
      <name val="Calibri"/>
      <family val="2"/>
      <charset val="161"/>
      <scheme val="minor"/>
    </font>
    <font>
      <sz val="11"/>
      <color rgb="FF9C0006"/>
      <name val="Calibri"/>
      <family val="2"/>
      <charset val="161"/>
      <scheme val="minor"/>
    </font>
    <font>
      <sz val="11"/>
      <color rgb="FF9C6500"/>
      <name val="Calibri"/>
      <family val="2"/>
      <charset val="161"/>
      <scheme val="minor"/>
    </font>
    <font>
      <sz val="11"/>
      <color rgb="FF3F3F76"/>
      <name val="Calibri"/>
      <family val="2"/>
      <charset val="161"/>
      <scheme val="minor"/>
    </font>
    <font>
      <b/>
      <sz val="11"/>
      <color rgb="FF3F3F3F"/>
      <name val="Calibri"/>
      <family val="2"/>
      <charset val="161"/>
      <scheme val="minor"/>
    </font>
    <font>
      <b/>
      <sz val="11"/>
      <color rgb="FFFA7D00"/>
      <name val="Calibri"/>
      <family val="2"/>
      <charset val="161"/>
      <scheme val="minor"/>
    </font>
    <font>
      <sz val="11"/>
      <color rgb="FFFA7D00"/>
      <name val="Calibri"/>
      <family val="2"/>
      <charset val="161"/>
      <scheme val="minor"/>
    </font>
    <font>
      <b/>
      <sz val="11"/>
      <color theme="0"/>
      <name val="Calibri"/>
      <family val="2"/>
      <charset val="161"/>
      <scheme val="minor"/>
    </font>
    <font>
      <sz val="11"/>
      <color rgb="FFFF0000"/>
      <name val="Calibri"/>
      <family val="2"/>
      <charset val="161"/>
      <scheme val="minor"/>
    </font>
    <font>
      <i/>
      <sz val="11"/>
      <color rgb="FF7F7F7F"/>
      <name val="Calibri"/>
      <family val="2"/>
      <charset val="161"/>
      <scheme val="minor"/>
    </font>
    <font>
      <sz val="11"/>
      <color theme="0"/>
      <name val="Calibri"/>
      <family val="2"/>
      <charset val="161"/>
      <scheme val="minor"/>
    </font>
    <font>
      <b/>
      <i/>
      <sz val="9"/>
      <color rgb="FFFF0000"/>
      <name val="Arial"/>
      <family val="2"/>
      <charset val="161"/>
    </font>
    <font>
      <sz val="9"/>
      <color rgb="FFFF0000"/>
      <name val="Helvetica Neue"/>
    </font>
    <font>
      <b/>
      <sz val="18"/>
      <color theme="3"/>
      <name val="Cambria"/>
      <family val="2"/>
      <charset val="161"/>
      <scheme val="major"/>
    </font>
    <font>
      <b/>
      <i/>
      <sz val="9"/>
      <color theme="0"/>
      <name val="Arial"/>
      <family val="2"/>
      <charset val="161"/>
    </font>
    <font>
      <sz val="11"/>
      <color theme="1"/>
      <name val="Calibri"/>
      <family val="2"/>
      <charset val="161"/>
    </font>
  </fonts>
  <fills count="7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indexed="54"/>
        <bgColor indexed="23"/>
      </patternFill>
    </fill>
    <fill>
      <patternFill patternType="solid">
        <fgColor indexed="9"/>
        <bgColor indexed="26"/>
      </patternFill>
    </fill>
    <fill>
      <patternFill patternType="solid">
        <fgColor indexed="31"/>
        <bgColor indexed="42"/>
      </patternFill>
    </fill>
    <fill>
      <patternFill patternType="solid">
        <fgColor indexed="42"/>
        <bgColor indexed="31"/>
      </patternFill>
    </fill>
    <fill>
      <patternFill patternType="solid">
        <fgColor indexed="62"/>
        <bgColor indexed="54"/>
      </patternFill>
    </fill>
    <fill>
      <patternFill patternType="solid">
        <fgColor indexed="47"/>
        <bgColor indexed="42"/>
      </patternFill>
    </fill>
    <fill>
      <patternFill patternType="solid">
        <fgColor indexed="22"/>
        <bgColor indexed="31"/>
      </patternFill>
    </fill>
    <fill>
      <patternFill patternType="solid">
        <fgColor theme="0" tint="-4.9989318521683403E-2"/>
        <bgColor indexed="64"/>
      </patternFill>
    </fill>
    <fill>
      <patternFill patternType="solid">
        <fgColor theme="0"/>
        <bgColor indexed="26"/>
      </patternFill>
    </fill>
    <fill>
      <patternFill patternType="solid">
        <fgColor theme="0"/>
        <bgColor indexed="31"/>
      </patternFill>
    </fill>
    <fill>
      <patternFill patternType="solid">
        <fgColor rgb="FFFFFFCC"/>
        <bgColor indexed="42"/>
      </patternFill>
    </fill>
    <fill>
      <patternFill patternType="solid">
        <fgColor theme="0" tint="-0.14999847407452621"/>
        <bgColor indexed="31"/>
      </patternFill>
    </fill>
    <fill>
      <patternFill patternType="solid">
        <fgColor theme="0" tint="-4.9989318521683403E-2"/>
        <bgColor indexed="26"/>
      </patternFill>
    </fill>
    <fill>
      <patternFill patternType="solid">
        <fgColor theme="0" tint="-0.14999847407452621"/>
        <bgColor indexed="42"/>
      </patternFill>
    </fill>
    <fill>
      <patternFill patternType="solid">
        <fgColor theme="7" tint="-0.249977111117893"/>
        <bgColor indexed="54"/>
      </patternFill>
    </fill>
    <fill>
      <patternFill patternType="solid">
        <fgColor rgb="FF0070C0"/>
        <bgColor indexed="54"/>
      </patternFill>
    </fill>
    <fill>
      <patternFill patternType="solid">
        <fgColor theme="8" tint="0.59999389629810485"/>
        <bgColor indexed="31"/>
      </patternFill>
    </fill>
    <fill>
      <patternFill patternType="solid">
        <fgColor theme="9" tint="0.79998168889431442"/>
        <bgColor indexed="42"/>
      </patternFill>
    </fill>
    <fill>
      <patternFill patternType="solid">
        <fgColor indexed="9"/>
        <bgColor theme="4"/>
      </patternFill>
    </fill>
    <fill>
      <patternFill patternType="solid">
        <fgColor theme="8" tint="0.59999389629810485"/>
        <bgColor indexed="55"/>
      </patternFill>
    </fill>
    <fill>
      <patternFill patternType="solid">
        <fgColor theme="0" tint="-0.14999847407452621"/>
        <bgColor indexed="64"/>
      </patternFill>
    </fill>
    <fill>
      <patternFill patternType="solid">
        <fgColor theme="0" tint="-0.14999847407452621"/>
        <bgColor indexed="55"/>
      </patternFill>
    </fill>
    <fill>
      <patternFill patternType="solid">
        <fgColor rgb="FFFFFFCC"/>
        <bgColor indexed="26"/>
      </patternFill>
    </fill>
    <fill>
      <patternFill patternType="solid">
        <fgColor rgb="FFFFFFCC"/>
        <bgColor indexed="55"/>
      </patternFill>
    </fill>
    <fill>
      <patternFill patternType="solid">
        <fgColor theme="9" tint="0.79998168889431442"/>
        <bgColor indexed="26"/>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gray125">
        <bgColor theme="0"/>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medium">
        <color indexed="8"/>
      </bottom>
      <diagonal/>
    </border>
    <border>
      <left style="medium">
        <color indexed="8"/>
      </left>
      <right/>
      <top style="medium">
        <color indexed="8"/>
      </top>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thin">
        <color indexed="8"/>
      </left>
      <right/>
      <top/>
      <bottom/>
      <diagonal/>
    </border>
    <border>
      <left/>
      <right/>
      <top style="medium">
        <color indexed="8"/>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right style="medium">
        <color indexed="8"/>
      </right>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63"/>
      </bottom>
      <diagonal/>
    </border>
    <border>
      <left/>
      <right style="thin">
        <color indexed="8"/>
      </right>
      <top style="medium">
        <color indexed="8"/>
      </top>
      <bottom style="medium">
        <color indexed="63"/>
      </bottom>
      <diagonal/>
    </border>
    <border>
      <left/>
      <right style="medium">
        <color indexed="8"/>
      </right>
      <top style="medium">
        <color indexed="8"/>
      </top>
      <bottom style="medium">
        <color indexed="63"/>
      </bottom>
      <diagonal/>
    </border>
    <border>
      <left/>
      <right style="thin">
        <color indexed="8"/>
      </right>
      <top/>
      <bottom/>
      <diagonal/>
    </border>
    <border>
      <left/>
      <right style="medium">
        <color indexed="8"/>
      </right>
      <top/>
      <bottom/>
      <diagonal/>
    </border>
    <border>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medium">
        <color indexed="8"/>
      </right>
      <top style="dashed">
        <color indexed="8"/>
      </top>
      <bottom style="dashed">
        <color indexed="8"/>
      </bottom>
      <diagonal/>
    </border>
    <border>
      <left/>
      <right/>
      <top style="medium">
        <color indexed="63"/>
      </top>
      <bottom style="medium">
        <color indexed="63"/>
      </bottom>
      <diagonal/>
    </border>
    <border>
      <left/>
      <right style="thin">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bottom style="medium">
        <color indexed="8"/>
      </bottom>
      <diagonal/>
    </border>
    <border>
      <left/>
      <right/>
      <top style="medium">
        <color indexed="8"/>
      </top>
      <bottom/>
      <diagonal/>
    </border>
    <border>
      <left style="medium">
        <color indexed="8"/>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top/>
      <bottom style="double">
        <color indexed="8"/>
      </bottom>
      <diagonal/>
    </border>
    <border>
      <left style="double">
        <color indexed="8"/>
      </left>
      <right/>
      <top/>
      <bottom style="double">
        <color indexed="8"/>
      </bottom>
      <diagonal/>
    </border>
    <border>
      <left style="double">
        <color indexed="8"/>
      </left>
      <right/>
      <top/>
      <bottom/>
      <diagonal/>
    </border>
    <border>
      <left style="thin">
        <color indexed="8"/>
      </left>
      <right style="double">
        <color indexed="8"/>
      </right>
      <top/>
      <bottom/>
      <diagonal/>
    </border>
    <border>
      <left/>
      <right style="double">
        <color indexed="8"/>
      </right>
      <top style="double">
        <color indexed="8"/>
      </top>
      <bottom style="thin">
        <color indexed="8"/>
      </bottom>
      <diagonal/>
    </border>
    <border>
      <left/>
      <right/>
      <top style="double">
        <color indexed="8"/>
      </top>
      <bottom style="thin">
        <color indexed="8"/>
      </bottom>
      <diagonal/>
    </border>
    <border>
      <left style="double">
        <color indexed="8"/>
      </left>
      <right/>
      <top style="double">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medium">
        <color indexed="63"/>
      </top>
      <bottom style="medium">
        <color indexed="8"/>
      </bottom>
      <diagonal/>
    </border>
    <border>
      <left style="medium">
        <color indexed="8"/>
      </left>
      <right style="thin">
        <color indexed="8"/>
      </right>
      <top/>
      <bottom style="medium">
        <color indexed="8"/>
      </bottom>
      <diagonal/>
    </border>
    <border>
      <left style="thin">
        <color indexed="8"/>
      </left>
      <right style="medium">
        <color indexed="8"/>
      </right>
      <top style="dashed">
        <color indexed="8"/>
      </top>
      <bottom style="medium">
        <color indexed="63"/>
      </bottom>
      <diagonal/>
    </border>
    <border>
      <left style="thin">
        <color indexed="8"/>
      </left>
      <right style="thin">
        <color indexed="8"/>
      </right>
      <top style="dotted">
        <color indexed="8"/>
      </top>
      <bottom style="medium">
        <color indexed="63"/>
      </bottom>
      <diagonal/>
    </border>
    <border>
      <left/>
      <right style="thin">
        <color indexed="8"/>
      </right>
      <top style="dotted">
        <color indexed="8"/>
      </top>
      <bottom style="medium">
        <color indexed="63"/>
      </bottom>
      <diagonal/>
    </border>
    <border>
      <left/>
      <right/>
      <top style="dotted">
        <color indexed="8"/>
      </top>
      <bottom style="medium">
        <color indexed="63"/>
      </bottom>
      <diagonal/>
    </border>
    <border>
      <left style="thin">
        <color indexed="8"/>
      </left>
      <right/>
      <top style="dotted">
        <color indexed="8"/>
      </top>
      <bottom style="medium">
        <color indexed="63"/>
      </bottom>
      <diagonal/>
    </border>
    <border>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medium">
        <color indexed="8"/>
      </right>
      <top style="double">
        <color indexed="8"/>
      </top>
      <bottom style="dashed">
        <color indexed="8"/>
      </bottom>
      <diagonal/>
    </border>
    <border>
      <left style="thin">
        <color indexed="8"/>
      </left>
      <right style="thin">
        <color indexed="8"/>
      </right>
      <top style="double">
        <color indexed="8"/>
      </top>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medium">
        <color indexed="8"/>
      </left>
      <right/>
      <top style="double">
        <color indexed="8"/>
      </top>
      <bottom/>
      <diagonal/>
    </border>
    <border>
      <left/>
      <right style="medium">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8"/>
      </right>
      <top style="medium">
        <color indexed="8"/>
      </top>
      <bottom style="thin">
        <color indexed="64"/>
      </bottom>
      <diagonal/>
    </border>
    <border>
      <left/>
      <right style="medium">
        <color indexed="8"/>
      </right>
      <top style="medium">
        <color indexed="8"/>
      </top>
      <bottom style="thin">
        <color indexed="64"/>
      </bottom>
      <diagonal/>
    </border>
    <border>
      <left/>
      <right style="double">
        <color indexed="8"/>
      </right>
      <top style="double">
        <color indexed="8"/>
      </top>
      <bottom/>
      <diagonal/>
    </border>
    <border>
      <left style="thin">
        <color indexed="8"/>
      </left>
      <right style="double">
        <color indexed="8"/>
      </right>
      <top/>
      <bottom style="thin">
        <color indexed="8"/>
      </bottom>
      <diagonal/>
    </border>
    <border>
      <left style="hair">
        <color indexed="64"/>
      </left>
      <right style="hair">
        <color indexed="64"/>
      </right>
      <top style="thin">
        <color indexed="64"/>
      </top>
      <bottom style="double">
        <color indexed="8"/>
      </bottom>
      <diagonal/>
    </border>
    <border>
      <left style="thin">
        <color indexed="8"/>
      </left>
      <right style="thin">
        <color indexed="8"/>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medium">
        <color indexed="8"/>
      </right>
      <top style="thin">
        <color indexed="8"/>
      </top>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hair">
        <color indexed="8"/>
      </left>
      <right style="hair">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medium">
        <color indexed="8"/>
      </left>
      <right/>
      <top style="thin">
        <color indexed="8"/>
      </top>
      <bottom/>
      <diagonal/>
    </border>
    <border>
      <left style="medium">
        <color indexed="8"/>
      </left>
      <right/>
      <top style="thin">
        <color indexed="8"/>
      </top>
      <bottom style="medium">
        <color indexed="63"/>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double">
        <color indexed="8"/>
      </right>
      <top style="thin">
        <color indexed="8"/>
      </top>
      <bottom style="thin">
        <color indexed="8"/>
      </bottom>
      <diagonal/>
    </border>
    <border>
      <left/>
      <right/>
      <top style="thin">
        <color indexed="8"/>
      </top>
      <bottom style="double">
        <color indexed="8"/>
      </bottom>
      <diagonal/>
    </border>
    <border>
      <left/>
      <right/>
      <top style="thin">
        <color indexed="63"/>
      </top>
      <bottom style="double">
        <color indexed="8"/>
      </bottom>
      <diagonal/>
    </border>
    <border>
      <left style="hair">
        <color indexed="8"/>
      </left>
      <right style="hair">
        <color indexed="8"/>
      </right>
      <top style="thin">
        <color indexed="8"/>
      </top>
      <bottom style="double">
        <color indexed="8"/>
      </bottom>
      <diagonal/>
    </border>
    <border>
      <left/>
      <right style="double">
        <color indexed="8"/>
      </right>
      <top style="thin">
        <color indexed="8"/>
      </top>
      <bottom style="double">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thin">
        <color indexed="64"/>
      </bottom>
      <diagonal/>
    </border>
    <border>
      <left style="thin">
        <color indexed="8"/>
      </left>
      <right style="medium">
        <color indexed="8"/>
      </right>
      <top style="thin">
        <color indexed="8"/>
      </top>
      <bottom style="medium">
        <color indexed="8"/>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169">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8"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 fillId="0" borderId="0" applyFont="0" applyFill="0" applyBorder="0" applyAlignment="0" applyProtection="0"/>
    <xf numFmtId="164" fontId="1" fillId="0" borderId="0" applyFont="0" applyFill="0" applyBorder="0" applyAlignment="0" applyProtection="0"/>
    <xf numFmtId="0" fontId="2" fillId="0" borderId="0"/>
    <xf numFmtId="0" fontId="56" fillId="12" borderId="0" applyNumberFormat="0" applyBorder="0" applyProtection="0"/>
    <xf numFmtId="173" fontId="2" fillId="0" borderId="0" applyFill="0" applyBorder="0" applyProtection="0"/>
    <xf numFmtId="170" fontId="2" fillId="0" borderId="0" applyFill="0" applyBorder="0" applyProtection="0"/>
    <xf numFmtId="171" fontId="2" fillId="0" borderId="0" applyFill="0" applyBorder="0" applyProtection="0"/>
    <xf numFmtId="9" fontId="2" fillId="0" borderId="0" applyFill="0" applyBorder="0" applyProtection="0"/>
    <xf numFmtId="9" fontId="2" fillId="0" borderId="0" applyFill="0" applyBorder="0" applyProtection="0"/>
    <xf numFmtId="173" fontId="2" fillId="0" borderId="0" applyFill="0" applyBorder="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111" fillId="0" borderId="97" applyNumberFormat="0" applyFill="0" applyAlignment="0" applyProtection="0"/>
    <xf numFmtId="0" fontId="112" fillId="0" borderId="98" applyNumberFormat="0" applyFill="0" applyAlignment="0" applyProtection="0"/>
    <xf numFmtId="0" fontId="113" fillId="0" borderId="99" applyNumberFormat="0" applyFill="0" applyAlignment="0" applyProtection="0"/>
    <xf numFmtId="0" fontId="113" fillId="0" borderId="0" applyNumberFormat="0" applyFill="0" applyBorder="0" applyAlignment="0" applyProtection="0"/>
    <xf numFmtId="0" fontId="114" fillId="38" borderId="0" applyNumberFormat="0" applyBorder="0" applyAlignment="0" applyProtection="0"/>
    <xf numFmtId="0" fontId="115" fillId="39" borderId="0" applyNumberFormat="0" applyBorder="0" applyAlignment="0" applyProtection="0"/>
    <xf numFmtId="0" fontId="116" fillId="40" borderId="0" applyNumberFormat="0" applyBorder="0" applyAlignment="0" applyProtection="0"/>
    <xf numFmtId="0" fontId="117" fillId="41" borderId="100" applyNumberFormat="0" applyAlignment="0" applyProtection="0"/>
    <xf numFmtId="0" fontId="118" fillId="42" borderId="101" applyNumberFormat="0" applyAlignment="0" applyProtection="0"/>
    <xf numFmtId="0" fontId="119" fillId="42" borderId="100" applyNumberFormat="0" applyAlignment="0" applyProtection="0"/>
    <xf numFmtId="0" fontId="120" fillId="0" borderId="102" applyNumberFormat="0" applyFill="0" applyAlignment="0" applyProtection="0"/>
    <xf numFmtId="0" fontId="121" fillId="43" borderId="103" applyNumberFormat="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46" fillId="0" borderId="105" applyNumberFormat="0" applyFill="0" applyAlignment="0" applyProtection="0"/>
    <xf numFmtId="0" fontId="124"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24" fillId="48" borderId="0" applyNumberFormat="0" applyBorder="0" applyAlignment="0" applyProtection="0"/>
    <xf numFmtId="0" fontId="124"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24" fillId="52" borderId="0" applyNumberFormat="0" applyBorder="0" applyAlignment="0" applyProtection="0"/>
    <xf numFmtId="0" fontId="124"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24" fillId="56" borderId="0" applyNumberFormat="0" applyBorder="0" applyAlignment="0" applyProtection="0"/>
    <xf numFmtId="0" fontId="124"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24" fillId="60" borderId="0" applyNumberFormat="0" applyBorder="0" applyAlignment="0" applyProtection="0"/>
    <xf numFmtId="0" fontId="124"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24" fillId="64" borderId="0" applyNumberFormat="0" applyBorder="0" applyAlignment="0" applyProtection="0"/>
    <xf numFmtId="0" fontId="124"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24" fillId="68" borderId="0" applyNumberFormat="0" applyBorder="0" applyAlignment="0" applyProtection="0"/>
    <xf numFmtId="0" fontId="127" fillId="0" borderId="0" applyNumberForma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8" fillId="0" borderId="0"/>
    <xf numFmtId="0" fontId="2" fillId="44" borderId="104" applyNumberFormat="0" applyFont="0" applyAlignment="0" applyProtection="0"/>
    <xf numFmtId="0" fontId="1" fillId="0" borderId="0"/>
    <xf numFmtId="0" fontId="1" fillId="44" borderId="104" applyNumberFormat="0" applyFont="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2" fillId="0" borderId="0" applyFill="0" applyBorder="0" applyProtection="0"/>
    <xf numFmtId="170" fontId="2" fillId="0" borderId="0" applyFill="0" applyBorder="0" applyProtection="0"/>
    <xf numFmtId="43" fontId="1" fillId="0" borderId="0" applyFont="0" applyFill="0" applyBorder="0" applyAlignment="0" applyProtection="0"/>
    <xf numFmtId="0" fontId="8" fillId="0" borderId="0"/>
  </cellStyleXfs>
  <cellXfs count="1182">
    <xf numFmtId="0" fontId="0" fillId="0" borderId="0" xfId="0"/>
    <xf numFmtId="0" fontId="9" fillId="0" borderId="1" xfId="2" applyNumberFormat="1" applyFont="1" applyFill="1" applyBorder="1" applyAlignment="1" applyProtection="1">
      <alignment horizontal="center" vertical="center" wrapText="1"/>
      <protection locked="0"/>
    </xf>
    <xf numFmtId="0" fontId="16" fillId="0" borderId="0" xfId="2" applyNumberFormat="1" applyFont="1" applyFill="1" applyAlignment="1" applyProtection="1">
      <alignment vertical="center"/>
      <protection locked="0"/>
    </xf>
    <xf numFmtId="0" fontId="17" fillId="0" borderId="0" xfId="2" applyNumberFormat="1" applyFont="1" applyFill="1" applyAlignment="1" applyProtection="1">
      <alignment vertical="center"/>
      <protection locked="0"/>
    </xf>
    <xf numFmtId="0" fontId="17" fillId="0" borderId="11" xfId="2" applyNumberFormat="1" applyFont="1" applyFill="1" applyBorder="1" applyAlignment="1" applyProtection="1">
      <alignment vertical="center"/>
      <protection locked="0"/>
    </xf>
    <xf numFmtId="0" fontId="16" fillId="0" borderId="6" xfId="2" applyNumberFormat="1" applyFont="1" applyFill="1" applyBorder="1" applyAlignment="1" applyProtection="1">
      <alignment vertical="center" wrapText="1"/>
      <protection locked="0"/>
    </xf>
    <xf numFmtId="0" fontId="18" fillId="6" borderId="3" xfId="2" applyNumberFormat="1" applyFont="1" applyFill="1" applyBorder="1" applyAlignment="1" applyProtection="1">
      <alignment horizontal="left" vertical="center" wrapText="1"/>
      <protection locked="0"/>
    </xf>
    <xf numFmtId="0" fontId="17" fillId="2" borderId="1" xfId="2" applyNumberFormat="1" applyFont="1" applyFill="1" applyBorder="1" applyAlignment="1" applyProtection="1">
      <alignment horizontal="justify" vertical="center" wrapText="1"/>
      <protection locked="0"/>
    </xf>
    <xf numFmtId="0" fontId="17" fillId="2" borderId="1" xfId="0" applyNumberFormat="1" applyFont="1" applyFill="1" applyBorder="1" applyAlignment="1">
      <alignment horizontal="center" vertical="center" wrapText="1"/>
    </xf>
    <xf numFmtId="0" fontId="17" fillId="2" borderId="0" xfId="2" applyNumberFormat="1" applyFont="1" applyFill="1" applyAlignment="1" applyProtection="1">
      <alignment vertical="center"/>
      <protection locked="0"/>
    </xf>
    <xf numFmtId="0" fontId="17" fillId="2" borderId="1" xfId="2" applyNumberFormat="1" applyFont="1" applyFill="1" applyBorder="1" applyAlignment="1" applyProtection="1">
      <alignment horizontal="left" vertical="center" wrapText="1"/>
      <protection locked="0"/>
    </xf>
    <xf numFmtId="0" fontId="17" fillId="2" borderId="1" xfId="2" applyNumberFormat="1" applyFont="1" applyFill="1" applyBorder="1" applyAlignment="1" applyProtection="1">
      <alignment vertical="center" wrapText="1"/>
      <protection locked="0"/>
    </xf>
    <xf numFmtId="0" fontId="16" fillId="2" borderId="1" xfId="2" applyNumberFormat="1" applyFont="1" applyFill="1" applyBorder="1" applyAlignment="1" applyProtection="1">
      <alignment horizontal="center" vertical="center" wrapText="1"/>
      <protection locked="0"/>
    </xf>
    <xf numFmtId="0" fontId="19" fillId="2" borderId="1" xfId="2" applyNumberFormat="1" applyFont="1" applyFill="1" applyBorder="1" applyAlignment="1" applyProtection="1">
      <alignment vertical="center" wrapText="1"/>
      <protection locked="0"/>
    </xf>
    <xf numFmtId="0" fontId="19" fillId="0" borderId="3" xfId="2" applyNumberFormat="1" applyFont="1" applyFill="1" applyBorder="1" applyAlignment="1" applyProtection="1">
      <alignment vertical="center" wrapText="1"/>
      <protection locked="0"/>
    </xf>
    <xf numFmtId="0" fontId="19" fillId="0" borderId="4" xfId="2" applyNumberFormat="1" applyFont="1" applyFill="1" applyBorder="1" applyAlignment="1" applyProtection="1">
      <alignment vertical="center" wrapText="1"/>
      <protection locked="0"/>
    </xf>
    <xf numFmtId="0" fontId="18" fillId="6" borderId="3" xfId="2" applyNumberFormat="1" applyFont="1" applyFill="1" applyBorder="1" applyAlignment="1" applyProtection="1">
      <alignment vertical="center" wrapText="1"/>
      <protection locked="0"/>
    </xf>
    <xf numFmtId="0" fontId="19" fillId="3" borderId="1" xfId="2" applyNumberFormat="1" applyFont="1" applyFill="1" applyBorder="1" applyAlignment="1" applyProtection="1">
      <alignment vertical="center" wrapText="1"/>
      <protection locked="0"/>
    </xf>
    <xf numFmtId="0" fontId="17" fillId="2" borderId="0" xfId="2" applyNumberFormat="1" applyFont="1" applyFill="1" applyBorder="1" applyAlignment="1" applyProtection="1">
      <alignment vertical="center"/>
      <protection locked="0"/>
    </xf>
    <xf numFmtId="0" fontId="19" fillId="2" borderId="4" xfId="2" applyNumberFormat="1" applyFont="1" applyFill="1" applyBorder="1" applyAlignment="1" applyProtection="1">
      <alignment horizontal="center" vertical="center" wrapText="1"/>
      <protection locked="0"/>
    </xf>
    <xf numFmtId="0" fontId="18" fillId="6" borderId="10" xfId="2" applyNumberFormat="1" applyFont="1" applyFill="1" applyBorder="1" applyAlignment="1" applyProtection="1">
      <alignment vertical="center" wrapText="1"/>
      <protection locked="0"/>
    </xf>
    <xf numFmtId="0" fontId="9" fillId="0" borderId="0" xfId="2" applyNumberFormat="1" applyFont="1" applyFill="1" applyAlignment="1" applyProtection="1">
      <alignment horizontal="left" wrapText="1"/>
      <protection locked="0"/>
    </xf>
    <xf numFmtId="0" fontId="22" fillId="0" borderId="0" xfId="2" applyNumberFormat="1" applyFont="1" applyFill="1" applyAlignment="1" applyProtection="1">
      <alignment horizontal="center" vertical="center" wrapText="1"/>
      <protection locked="0"/>
    </xf>
    <xf numFmtId="0" fontId="10" fillId="0" borderId="0" xfId="2" applyNumberFormat="1" applyFont="1" applyFill="1" applyAlignment="1" applyProtection="1">
      <alignment horizontal="center" vertical="center" wrapText="1"/>
      <protection locked="0"/>
    </xf>
    <xf numFmtId="0" fontId="22" fillId="0" borderId="0" xfId="2" applyNumberFormat="1" applyFont="1" applyFill="1" applyAlignment="1" applyProtection="1">
      <alignment horizontal="center" vertical="top" wrapText="1"/>
      <protection locked="0"/>
    </xf>
    <xf numFmtId="0" fontId="22" fillId="0" borderId="0" xfId="2" applyNumberFormat="1" applyFont="1" applyFill="1" applyAlignment="1" applyProtection="1">
      <alignment vertical="top" wrapText="1"/>
      <protection locked="0"/>
    </xf>
    <xf numFmtId="0" fontId="12" fillId="0" borderId="0" xfId="2" applyNumberFormat="1" applyFont="1" applyFill="1" applyBorder="1" applyAlignment="1" applyProtection="1">
      <alignment horizontal="center" vertical="center" wrapText="1"/>
      <protection locked="0"/>
    </xf>
    <xf numFmtId="0" fontId="12" fillId="0" borderId="1" xfId="2" applyFont="1" applyFill="1" applyBorder="1" applyAlignment="1" applyProtection="1">
      <alignment horizontal="center" vertical="center" wrapText="1"/>
      <protection locked="0"/>
    </xf>
    <xf numFmtId="0" fontId="22" fillId="0" borderId="0" xfId="2" applyNumberFormat="1" applyFont="1" applyFill="1" applyAlignment="1">
      <alignment horizontal="left" wrapText="1"/>
    </xf>
    <xf numFmtId="0" fontId="22" fillId="0" borderId="0" xfId="2" applyNumberFormat="1" applyFont="1" applyFill="1" applyAlignment="1">
      <alignment horizontal="center" vertical="center" wrapText="1"/>
    </xf>
    <xf numFmtId="0" fontId="10" fillId="0" borderId="0" xfId="2" applyNumberFormat="1" applyFont="1" applyFill="1" applyAlignment="1">
      <alignment horizontal="center" vertical="center" wrapText="1"/>
    </xf>
    <xf numFmtId="0" fontId="22" fillId="0" borderId="0" xfId="2" applyNumberFormat="1" applyFont="1" applyFill="1" applyAlignment="1">
      <alignment horizontal="center" vertical="top" wrapText="1"/>
    </xf>
    <xf numFmtId="0" fontId="22" fillId="0" borderId="0" xfId="2" applyNumberFormat="1" applyFont="1" applyFill="1" applyAlignment="1">
      <alignment vertical="top" wrapText="1"/>
    </xf>
    <xf numFmtId="0" fontId="12" fillId="0" borderId="1" xfId="2" applyNumberFormat="1" applyFont="1" applyFill="1" applyBorder="1" applyAlignment="1" applyProtection="1">
      <alignment horizontal="left" wrapText="1"/>
      <protection locked="0"/>
    </xf>
    <xf numFmtId="0" fontId="9" fillId="0" borderId="0" xfId="2" applyNumberFormat="1" applyFont="1" applyFill="1" applyAlignment="1" applyProtection="1">
      <alignment horizontal="left" vertical="center" wrapText="1"/>
      <protection locked="0"/>
    </xf>
    <xf numFmtId="3" fontId="12" fillId="4" borderId="1" xfId="2" applyNumberFormat="1" applyFont="1" applyFill="1" applyBorder="1" applyAlignment="1" applyProtection="1">
      <alignment horizontal="center" vertical="center" wrapText="1"/>
      <protection locked="0"/>
    </xf>
    <xf numFmtId="3" fontId="9" fillId="0" borderId="1" xfId="2" applyNumberFormat="1" applyFont="1" applyFill="1" applyBorder="1" applyAlignment="1" applyProtection="1">
      <alignment horizontal="center" vertical="center" wrapText="1"/>
      <protection locked="0"/>
    </xf>
    <xf numFmtId="0" fontId="14" fillId="0" borderId="0" xfId="2" applyFont="1" applyFill="1" applyAlignment="1" applyProtection="1">
      <alignment vertical="top" wrapText="1"/>
      <protection locked="0"/>
    </xf>
    <xf numFmtId="4" fontId="12" fillId="0" borderId="1" xfId="2" applyNumberFormat="1" applyFont="1" applyFill="1" applyBorder="1" applyAlignment="1" applyProtection="1">
      <alignment horizontal="center" vertical="center" wrapText="1"/>
      <protection locked="0"/>
    </xf>
    <xf numFmtId="0" fontId="24" fillId="0" borderId="0" xfId="0" applyFont="1" applyBorder="1" applyAlignment="1">
      <alignment horizontal="center" vertical="center" wrapText="1"/>
    </xf>
    <xf numFmtId="166" fontId="24" fillId="0" borderId="0" xfId="0" applyNumberFormat="1" applyFont="1" applyBorder="1" applyAlignment="1">
      <alignment horizontal="center" vertical="center"/>
    </xf>
    <xf numFmtId="0" fontId="12" fillId="0" borderId="0" xfId="2" applyFont="1" applyFill="1" applyBorder="1" applyAlignment="1" applyProtection="1">
      <alignment horizontal="center" vertical="center" wrapText="1"/>
      <protection locked="0"/>
    </xf>
    <xf numFmtId="165" fontId="12" fillId="0" borderId="0" xfId="2" applyNumberFormat="1" applyFont="1" applyFill="1" applyBorder="1" applyAlignment="1" applyProtection="1">
      <alignment horizontal="center" vertical="center" wrapText="1"/>
      <protection locked="0"/>
    </xf>
    <xf numFmtId="4" fontId="12" fillId="0" borderId="0" xfId="2" applyNumberFormat="1" applyFont="1" applyFill="1" applyBorder="1" applyAlignment="1" applyProtection="1">
      <alignment horizontal="center" vertical="center" wrapText="1"/>
      <protection locked="0"/>
    </xf>
    <xf numFmtId="0" fontId="30" fillId="0" borderId="0" xfId="2" applyNumberFormat="1" applyFont="1" applyFill="1" applyAlignment="1" applyProtection="1">
      <alignment vertical="top"/>
      <protection locked="0"/>
    </xf>
    <xf numFmtId="0" fontId="21" fillId="0" borderId="0" xfId="2" applyNumberFormat="1" applyFont="1" applyFill="1" applyAlignment="1" applyProtection="1">
      <alignment vertical="top"/>
      <protection locked="0"/>
    </xf>
    <xf numFmtId="0" fontId="30" fillId="0" borderId="0" xfId="2" applyNumberFormat="1" applyFont="1" applyFill="1" applyAlignment="1">
      <alignment vertical="top"/>
    </xf>
    <xf numFmtId="0" fontId="21" fillId="0" borderId="0" xfId="2" applyNumberFormat="1" applyFont="1" applyFill="1" applyAlignment="1">
      <alignment vertical="top"/>
    </xf>
    <xf numFmtId="0" fontId="31" fillId="0" borderId="0" xfId="2" applyNumberFormat="1" applyFont="1" applyFill="1" applyAlignment="1" applyProtection="1">
      <alignment vertical="center"/>
      <protection locked="0"/>
    </xf>
    <xf numFmtId="0" fontId="19" fillId="0" borderId="1" xfId="2" applyNumberFormat="1" applyFont="1" applyFill="1" applyBorder="1" applyAlignment="1" applyProtection="1">
      <alignment horizontal="center" vertical="center" wrapText="1"/>
      <protection locked="0"/>
    </xf>
    <xf numFmtId="0" fontId="32" fillId="6" borderId="3" xfId="2" applyNumberFormat="1" applyFont="1" applyFill="1" applyBorder="1" applyAlignment="1" applyProtection="1">
      <alignment horizontal="left" vertical="center" wrapText="1"/>
      <protection locked="0"/>
    </xf>
    <xf numFmtId="0" fontId="32" fillId="6" borderId="4" xfId="2" applyNumberFormat="1" applyFont="1" applyFill="1" applyBorder="1" applyAlignment="1" applyProtection="1">
      <alignment vertical="center" wrapText="1"/>
      <protection locked="0"/>
    </xf>
    <xf numFmtId="0" fontId="32" fillId="6" borderId="7" xfId="2" applyNumberFormat="1" applyFont="1" applyFill="1" applyBorder="1" applyAlignment="1" applyProtection="1">
      <alignment vertical="center" wrapText="1"/>
      <protection locked="0"/>
    </xf>
    <xf numFmtId="0" fontId="19" fillId="0" borderId="0" xfId="2" applyNumberFormat="1" applyFont="1" applyFill="1" applyAlignment="1" applyProtection="1">
      <alignment vertical="center"/>
      <protection locked="0"/>
    </xf>
    <xf numFmtId="0" fontId="33" fillId="0" borderId="0" xfId="2" applyNumberFormat="1" applyFont="1" applyFill="1" applyAlignment="1" applyProtection="1">
      <alignment horizontal="center" vertical="center" wrapText="1"/>
      <protection locked="0"/>
    </xf>
    <xf numFmtId="0" fontId="33" fillId="0" borderId="0" xfId="2" applyNumberFormat="1" applyFont="1" applyFill="1" applyAlignment="1">
      <alignment horizontal="center" vertical="center" wrapText="1"/>
    </xf>
    <xf numFmtId="0" fontId="34" fillId="0" borderId="0"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7" fillId="0" borderId="1" xfId="2" applyNumberFormat="1" applyFont="1" applyFill="1" applyBorder="1" applyAlignment="1" applyProtection="1">
      <alignment horizontal="center" vertical="center" wrapText="1"/>
      <protection locked="0"/>
    </xf>
    <xf numFmtId="0" fontId="37" fillId="0" borderId="1" xfId="0" applyFont="1" applyFill="1" applyBorder="1" applyAlignment="1">
      <alignment horizontal="center" vertical="center"/>
    </xf>
    <xf numFmtId="169" fontId="29" fillId="0" borderId="1" xfId="86" applyNumberFormat="1" applyFont="1" applyFill="1" applyBorder="1" applyAlignment="1">
      <alignment horizontal="center" vertical="center" wrapText="1"/>
    </xf>
    <xf numFmtId="1" fontId="12" fillId="0" borderId="1" xfId="2" applyNumberFormat="1" applyFont="1" applyFill="1" applyBorder="1" applyAlignment="1" applyProtection="1">
      <alignment horizontal="center" vertical="center" wrapText="1"/>
      <protection locked="0"/>
    </xf>
    <xf numFmtId="2" fontId="12" fillId="0" borderId="1" xfId="2" applyNumberFormat="1" applyFont="1" applyFill="1" applyBorder="1" applyAlignment="1" applyProtection="1">
      <alignment horizontal="center" vertical="center" wrapText="1"/>
      <protection locked="0"/>
    </xf>
    <xf numFmtId="0" fontId="19" fillId="2" borderId="1" xfId="2" applyNumberFormat="1" applyFont="1" applyFill="1" applyBorder="1" applyAlignment="1" applyProtection="1">
      <alignment horizontal="center" vertical="center" wrapText="1"/>
      <protection locked="0"/>
    </xf>
    <xf numFmtId="0" fontId="17" fillId="2" borderId="1" xfId="2" applyNumberFormat="1" applyFont="1" applyFill="1" applyBorder="1" applyAlignment="1" applyProtection="1">
      <alignment horizontal="center" vertical="center" wrapText="1"/>
      <protection locked="0"/>
    </xf>
    <xf numFmtId="49" fontId="20" fillId="6" borderId="7" xfId="2" applyNumberFormat="1" applyFont="1" applyFill="1" applyBorder="1" applyAlignment="1" applyProtection="1">
      <alignment horizontal="center" vertical="center"/>
      <protection locked="0"/>
    </xf>
    <xf numFmtId="0" fontId="17" fillId="2" borderId="10" xfId="2" applyNumberFormat="1" applyFont="1" applyFill="1" applyBorder="1" applyAlignment="1" applyProtection="1">
      <alignment horizontal="center" vertical="center" wrapText="1"/>
      <protection locked="0"/>
    </xf>
    <xf numFmtId="0" fontId="17" fillId="2" borderId="7" xfId="2" applyNumberFormat="1" applyFont="1" applyFill="1" applyBorder="1" applyAlignment="1" applyProtection="1">
      <alignment horizontal="center" vertical="center" wrapText="1"/>
      <protection locked="0"/>
    </xf>
    <xf numFmtId="0" fontId="19" fillId="2" borderId="3" xfId="2" applyNumberFormat="1" applyFont="1" applyFill="1" applyBorder="1" applyAlignment="1" applyProtection="1">
      <alignment horizontal="center" vertical="center" wrapText="1"/>
      <protection locked="0"/>
    </xf>
    <xf numFmtId="0" fontId="17" fillId="2" borderId="3" xfId="2" applyNumberFormat="1" applyFont="1" applyFill="1" applyBorder="1" applyAlignment="1" applyProtection="1">
      <alignment horizontal="center" vertical="center" wrapText="1"/>
      <protection locked="0"/>
    </xf>
    <xf numFmtId="0" fontId="19" fillId="2" borderId="3" xfId="2" applyNumberFormat="1" applyFont="1" applyFill="1" applyBorder="1" applyAlignment="1" applyProtection="1">
      <alignment vertical="center" wrapText="1"/>
      <protection locked="0"/>
    </xf>
    <xf numFmtId="0" fontId="17" fillId="9" borderId="0" xfId="2" applyNumberFormat="1" applyFont="1" applyFill="1" applyAlignment="1" applyProtection="1">
      <alignment vertical="center"/>
      <protection locked="0"/>
    </xf>
    <xf numFmtId="0" fontId="19" fillId="3" borderId="3" xfId="2" applyNumberFormat="1" applyFont="1" applyFill="1" applyBorder="1" applyAlignment="1" applyProtection="1">
      <alignment vertical="center" wrapText="1"/>
      <protection locked="0"/>
    </xf>
    <xf numFmtId="0" fontId="31" fillId="2" borderId="3" xfId="2" applyNumberFormat="1" applyFont="1" applyFill="1" applyBorder="1" applyAlignment="1" applyProtection="1">
      <alignment horizontal="center" vertical="center" wrapText="1"/>
      <protection locked="0"/>
    </xf>
    <xf numFmtId="0" fontId="10" fillId="2" borderId="0" xfId="2" applyNumberFormat="1" applyFont="1" applyFill="1" applyAlignment="1" applyProtection="1">
      <alignment vertical="top" wrapText="1"/>
      <protection locked="0"/>
    </xf>
    <xf numFmtId="49" fontId="11" fillId="7" borderId="3" xfId="2" applyNumberFormat="1" applyFont="1" applyFill="1" applyBorder="1" applyAlignment="1" applyProtection="1">
      <alignment horizontal="left" vertical="center" wrapText="1"/>
      <protection locked="0"/>
    </xf>
    <xf numFmtId="0" fontId="38" fillId="0" borderId="0" xfId="2" applyNumberFormat="1" applyFont="1" applyFill="1" applyAlignment="1" applyProtection="1">
      <alignment horizontal="left" wrapText="1"/>
      <protection locked="0"/>
    </xf>
    <xf numFmtId="0" fontId="39" fillId="0" borderId="0" xfId="2" applyNumberFormat="1" applyFont="1" applyFill="1" applyAlignment="1" applyProtection="1">
      <alignment horizontal="center" vertical="center" wrapText="1"/>
      <protection locked="0"/>
    </xf>
    <xf numFmtId="0" fontId="40" fillId="0" borderId="0" xfId="2" applyNumberFormat="1" applyFont="1" applyFill="1" applyAlignment="1" applyProtection="1">
      <alignment horizontal="center" vertical="center" wrapText="1"/>
      <protection locked="0"/>
    </xf>
    <xf numFmtId="0" fontId="41" fillId="0" borderId="0" xfId="2" applyNumberFormat="1" applyFont="1" applyFill="1" applyAlignment="1" applyProtection="1">
      <alignment horizontal="center" vertical="center" wrapText="1"/>
      <protection locked="0"/>
    </xf>
    <xf numFmtId="0" fontId="41" fillId="0" borderId="0" xfId="2" applyNumberFormat="1" applyFont="1" applyFill="1" applyAlignment="1" applyProtection="1">
      <alignment horizontal="center" vertical="top" wrapText="1"/>
      <protection locked="0"/>
    </xf>
    <xf numFmtId="0" fontId="12" fillId="0" borderId="0" xfId="2" applyNumberFormat="1" applyFont="1" applyFill="1" applyAlignment="1">
      <alignment vertical="top"/>
    </xf>
    <xf numFmtId="49" fontId="11" fillId="7" borderId="21" xfId="2" applyNumberFormat="1" applyFont="1" applyFill="1" applyBorder="1" applyAlignment="1" applyProtection="1">
      <alignment horizontal="left" vertical="center" wrapText="1"/>
      <protection locked="0"/>
    </xf>
    <xf numFmtId="49" fontId="11" fillId="7" borderId="9" xfId="2" applyNumberFormat="1" applyFont="1" applyFill="1" applyBorder="1" applyAlignment="1" applyProtection="1">
      <alignment horizontal="left" vertical="center" wrapText="1"/>
      <protection locked="0"/>
    </xf>
    <xf numFmtId="0" fontId="38" fillId="0" borderId="0" xfId="2" applyNumberFormat="1" applyFont="1" applyFill="1" applyAlignment="1" applyProtection="1">
      <alignment horizontal="left"/>
      <protection locked="0"/>
    </xf>
    <xf numFmtId="49" fontId="11" fillId="7" borderId="3" xfId="2" applyNumberFormat="1" applyFont="1" applyFill="1" applyBorder="1" applyAlignment="1" applyProtection="1">
      <alignment horizontal="left" vertical="center"/>
      <protection locked="0"/>
    </xf>
    <xf numFmtId="0" fontId="47" fillId="6" borderId="3" xfId="2" applyNumberFormat="1" applyFont="1" applyFill="1" applyBorder="1" applyAlignment="1" applyProtection="1">
      <alignment vertical="top" wrapText="1"/>
      <protection locked="0"/>
    </xf>
    <xf numFmtId="0" fontId="38" fillId="0" borderId="0" xfId="2" applyNumberFormat="1" applyFont="1" applyFill="1" applyAlignment="1" applyProtection="1">
      <alignment vertical="top" wrapText="1"/>
      <protection locked="0"/>
    </xf>
    <xf numFmtId="0" fontId="39" fillId="0" borderId="0" xfId="2" applyNumberFormat="1" applyFont="1" applyFill="1" applyAlignment="1" applyProtection="1">
      <alignment vertical="top"/>
      <protection locked="0"/>
    </xf>
    <xf numFmtId="0" fontId="40" fillId="0" borderId="0" xfId="2" applyNumberFormat="1" applyFont="1" applyFill="1" applyAlignment="1" applyProtection="1">
      <alignment vertical="top"/>
      <protection locked="0"/>
    </xf>
    <xf numFmtId="0" fontId="41" fillId="0" borderId="0" xfId="2" applyNumberFormat="1" applyFont="1" applyFill="1" applyAlignment="1" applyProtection="1">
      <alignment vertical="top"/>
      <protection locked="0"/>
    </xf>
    <xf numFmtId="0" fontId="49" fillId="6" borderId="4" xfId="2" applyNumberFormat="1" applyFont="1" applyFill="1" applyBorder="1" applyAlignment="1" applyProtection="1">
      <alignment vertical="top" wrapText="1"/>
      <protection locked="0"/>
    </xf>
    <xf numFmtId="0" fontId="47" fillId="6" borderId="4" xfId="2" applyNumberFormat="1" applyFont="1" applyFill="1" applyBorder="1" applyAlignment="1" applyProtection="1">
      <alignment vertical="top" wrapText="1"/>
      <protection locked="0"/>
    </xf>
    <xf numFmtId="0" fontId="40" fillId="2" borderId="0" xfId="2" applyNumberFormat="1" applyFont="1" applyFill="1" applyAlignment="1" applyProtection="1">
      <alignment vertical="top" wrapText="1"/>
      <protection locked="0"/>
    </xf>
    <xf numFmtId="0" fontId="41" fillId="2" borderId="0" xfId="2" applyNumberFormat="1" applyFont="1" applyFill="1" applyAlignment="1" applyProtection="1">
      <alignment vertical="top" wrapText="1"/>
      <protection locked="0"/>
    </xf>
    <xf numFmtId="165" fontId="41" fillId="2" borderId="0" xfId="2" applyNumberFormat="1" applyFont="1" applyFill="1" applyAlignment="1" applyProtection="1">
      <alignment vertical="top" wrapText="1"/>
      <protection locked="0"/>
    </xf>
    <xf numFmtId="0" fontId="40" fillId="0" borderId="0" xfId="2" applyNumberFormat="1" applyFont="1" applyFill="1" applyBorder="1" applyAlignment="1" applyProtection="1">
      <alignment vertical="center" wrapText="1"/>
      <protection locked="0"/>
    </xf>
    <xf numFmtId="0" fontId="50" fillId="0" borderId="0" xfId="2" applyNumberFormat="1" applyFont="1" applyFill="1" applyBorder="1" applyAlignment="1" applyProtection="1">
      <alignment vertical="top" wrapText="1"/>
      <protection locked="0"/>
    </xf>
    <xf numFmtId="10" fontId="38" fillId="0" borderId="0" xfId="2" applyNumberFormat="1" applyFont="1" applyFill="1" applyBorder="1" applyAlignment="1" applyProtection="1">
      <alignment horizontal="center" vertical="top" wrapText="1"/>
      <protection locked="0"/>
    </xf>
    <xf numFmtId="0" fontId="40" fillId="0" borderId="0" xfId="2" applyNumberFormat="1" applyFont="1" applyFill="1" applyAlignment="1" applyProtection="1">
      <alignment vertical="top" wrapText="1"/>
      <protection locked="0"/>
    </xf>
    <xf numFmtId="0" fontId="38" fillId="0" borderId="0" xfId="2" applyNumberFormat="1" applyFont="1" applyFill="1" applyAlignment="1">
      <alignment horizontal="left" vertical="center" wrapText="1"/>
    </xf>
    <xf numFmtId="0" fontId="39" fillId="0" borderId="0" xfId="2" applyNumberFormat="1" applyFont="1" applyFill="1" applyAlignment="1">
      <alignment vertical="top" wrapText="1"/>
    </xf>
    <xf numFmtId="0" fontId="41" fillId="0" borderId="0" xfId="2" applyNumberFormat="1" applyFont="1" applyFill="1" applyAlignment="1">
      <alignment vertical="top" wrapText="1"/>
    </xf>
    <xf numFmtId="0" fontId="50" fillId="0" borderId="0" xfId="0" applyFont="1" applyAlignment="1">
      <alignment vertical="center"/>
    </xf>
    <xf numFmtId="0" fontId="40" fillId="0" borderId="0" xfId="2" applyNumberFormat="1" applyFont="1" applyFill="1" applyAlignment="1">
      <alignment vertical="center" wrapText="1"/>
    </xf>
    <xf numFmtId="0" fontId="41" fillId="0" borderId="0" xfId="2" applyNumberFormat="1" applyFont="1" applyFill="1" applyAlignment="1">
      <alignment vertical="center" wrapText="1"/>
    </xf>
    <xf numFmtId="0" fontId="40" fillId="0" borderId="0" xfId="0" applyFont="1" applyAlignment="1">
      <alignment vertical="center"/>
    </xf>
    <xf numFmtId="0" fontId="40" fillId="0" borderId="0" xfId="0" applyFont="1" applyAlignment="1">
      <alignment horizontal="right" vertical="center"/>
    </xf>
    <xf numFmtId="0" fontId="40" fillId="0" borderId="0" xfId="2" applyNumberFormat="1" applyFont="1" applyFill="1" applyAlignment="1">
      <alignment horizontal="left" vertical="center" wrapText="1"/>
    </xf>
    <xf numFmtId="0" fontId="50" fillId="0" borderId="0" xfId="0" applyFont="1" applyAlignment="1">
      <alignment horizontal="left" vertical="center" wrapText="1"/>
    </xf>
    <xf numFmtId="0" fontId="40" fillId="0" borderId="0" xfId="0" applyFont="1" applyAlignment="1">
      <alignment horizontal="left" vertical="center" wrapText="1"/>
    </xf>
    <xf numFmtId="0" fontId="41" fillId="0" borderId="0" xfId="2" applyNumberFormat="1" applyFont="1" applyFill="1" applyAlignment="1">
      <alignment vertical="top"/>
    </xf>
    <xf numFmtId="0" fontId="38" fillId="0" borderId="0" xfId="0" applyFont="1" applyAlignment="1">
      <alignment horizontal="right" vertical="center"/>
    </xf>
    <xf numFmtId="0" fontId="39" fillId="0" borderId="0" xfId="2" applyNumberFormat="1" applyFont="1" applyFill="1" applyAlignment="1">
      <alignment vertical="top"/>
    </xf>
    <xf numFmtId="0" fontId="40" fillId="0" borderId="0" xfId="2" applyNumberFormat="1" applyFont="1" applyFill="1" applyAlignment="1">
      <alignment vertical="top"/>
    </xf>
    <xf numFmtId="0" fontId="41" fillId="0" borderId="0" xfId="2" applyNumberFormat="1" applyFont="1" applyFill="1" applyAlignment="1" applyProtection="1">
      <alignment vertical="top" wrapText="1"/>
      <protection locked="0"/>
    </xf>
    <xf numFmtId="49" fontId="48" fillId="0" borderId="0" xfId="2" applyNumberFormat="1" applyFont="1" applyFill="1" applyBorder="1" applyAlignment="1" applyProtection="1">
      <alignment horizontal="left" vertical="top" wrapText="1"/>
      <protection locked="0"/>
    </xf>
    <xf numFmtId="0" fontId="51" fillId="0" borderId="0" xfId="2" applyNumberFormat="1" applyFont="1" applyFill="1" applyAlignment="1" applyProtection="1">
      <alignment vertical="top" wrapText="1"/>
      <protection locked="0"/>
    </xf>
    <xf numFmtId="0" fontId="41" fillId="0" borderId="0" xfId="2" applyNumberFormat="1" applyFont="1" applyFill="1" applyAlignment="1">
      <alignment horizontal="left" wrapText="1"/>
    </xf>
    <xf numFmtId="0" fontId="39" fillId="0" borderId="0" xfId="2" applyNumberFormat="1" applyFont="1" applyFill="1" applyAlignment="1">
      <alignment horizontal="center" vertical="center" wrapText="1"/>
    </xf>
    <xf numFmtId="0" fontId="40" fillId="0" borderId="0" xfId="2" applyNumberFormat="1" applyFont="1" applyFill="1" applyAlignment="1">
      <alignment horizontal="center" vertical="center" wrapText="1"/>
    </xf>
    <xf numFmtId="0" fontId="41" fillId="0" borderId="0" xfId="2" applyNumberFormat="1" applyFont="1" applyFill="1" applyAlignment="1">
      <alignment horizontal="center" vertical="center" wrapText="1"/>
    </xf>
    <xf numFmtId="0" fontId="41" fillId="0" borderId="0" xfId="2" applyNumberFormat="1" applyFont="1" applyFill="1" applyAlignment="1">
      <alignment horizontal="center" vertical="top" wrapText="1"/>
    </xf>
    <xf numFmtId="0" fontId="38" fillId="0" borderId="0" xfId="2" applyNumberFormat="1" applyFont="1" applyFill="1" applyBorder="1" applyAlignment="1" applyProtection="1">
      <alignment horizontal="left" vertical="center" wrapText="1"/>
      <protection locked="0"/>
    </xf>
    <xf numFmtId="0" fontId="19" fillId="2" borderId="4" xfId="2" applyNumberFormat="1" applyFont="1" applyFill="1" applyBorder="1" applyAlignment="1" applyProtection="1">
      <alignment vertical="center" wrapText="1"/>
      <protection locked="0"/>
    </xf>
    <xf numFmtId="0" fontId="18" fillId="6" borderId="4" xfId="2" applyNumberFormat="1" applyFont="1" applyFill="1" applyBorder="1" applyAlignment="1" applyProtection="1">
      <alignment vertical="center" wrapText="1"/>
      <protection locked="0"/>
    </xf>
    <xf numFmtId="0" fontId="18" fillId="6" borderId="7" xfId="2" applyNumberFormat="1" applyFont="1" applyFill="1" applyBorder="1" applyAlignment="1" applyProtection="1">
      <alignment vertical="center" wrapText="1"/>
      <protection locked="0"/>
    </xf>
    <xf numFmtId="0" fontId="53" fillId="2" borderId="1" xfId="2" applyNumberFormat="1" applyFont="1" applyFill="1" applyBorder="1" applyAlignment="1" applyProtection="1">
      <alignment horizontal="center" vertical="center" wrapText="1"/>
      <protection locked="0"/>
    </xf>
    <xf numFmtId="0" fontId="17" fillId="2" borderId="6" xfId="2" applyNumberFormat="1" applyFont="1" applyFill="1" applyBorder="1" applyAlignment="1" applyProtection="1">
      <alignment vertical="center" wrapText="1"/>
      <protection locked="0"/>
    </xf>
    <xf numFmtId="0" fontId="42" fillId="0" borderId="0" xfId="0" applyFont="1" applyAlignment="1">
      <alignment vertical="center"/>
    </xf>
    <xf numFmtId="49" fontId="11" fillId="7" borderId="3" xfId="2" applyNumberFormat="1" applyFont="1" applyFill="1" applyBorder="1" applyAlignment="1" applyProtection="1">
      <alignment horizontal="left" vertical="center" wrapText="1"/>
      <protection locked="0"/>
    </xf>
    <xf numFmtId="49" fontId="11" fillId="7" borderId="4" xfId="2" applyNumberFormat="1" applyFont="1" applyFill="1" applyBorder="1" applyAlignment="1" applyProtection="1">
      <alignment horizontal="left" vertical="center" wrapText="1"/>
      <protection locked="0"/>
    </xf>
    <xf numFmtId="0" fontId="38" fillId="0" borderId="0" xfId="0" applyFont="1" applyAlignment="1">
      <alignment horizontal="left" vertical="center"/>
    </xf>
    <xf numFmtId="0" fontId="22" fillId="0" borderId="0" xfId="2" applyNumberFormat="1" applyFont="1" applyFill="1" applyAlignment="1" applyProtection="1">
      <alignment vertical="center" wrapText="1"/>
      <protection locked="0"/>
    </xf>
    <xf numFmtId="0" fontId="19" fillId="0" borderId="1" xfId="2" applyNumberFormat="1" applyFont="1" applyFill="1" applyBorder="1" applyAlignment="1" applyProtection="1">
      <alignment vertical="center" wrapText="1"/>
      <protection locked="0"/>
    </xf>
    <xf numFmtId="0" fontId="10" fillId="0" borderId="0" xfId="2" applyNumberFormat="1" applyFont="1" applyFill="1" applyAlignment="1" applyProtection="1">
      <alignment vertical="center" wrapText="1"/>
      <protection locked="0"/>
    </xf>
    <xf numFmtId="0" fontId="22" fillId="0" borderId="0" xfId="2" applyNumberFormat="1" applyFont="1" applyFill="1" applyBorder="1" applyAlignment="1" applyProtection="1">
      <alignment vertical="center" wrapText="1"/>
      <protection locked="0"/>
    </xf>
    <xf numFmtId="0" fontId="10" fillId="2" borderId="0" xfId="2" applyNumberFormat="1" applyFont="1" applyFill="1" applyAlignment="1" applyProtection="1">
      <alignment vertical="center" wrapText="1"/>
      <protection locked="0"/>
    </xf>
    <xf numFmtId="0" fontId="22" fillId="0" borderId="0" xfId="2" applyNumberFormat="1" applyFont="1" applyFill="1" applyAlignment="1">
      <alignment vertical="center" wrapText="1"/>
    </xf>
    <xf numFmtId="0" fontId="15" fillId="0" borderId="0" xfId="2" applyFont="1" applyFill="1" applyAlignment="1" applyProtection="1">
      <alignment vertical="center" wrapText="1"/>
      <protection locked="0"/>
    </xf>
    <xf numFmtId="0" fontId="13" fillId="0" borderId="0" xfId="2" applyNumberFormat="1" applyFont="1" applyFill="1" applyBorder="1" applyAlignment="1" applyProtection="1">
      <alignment horizontal="left" vertical="center" wrapText="1"/>
      <protection locked="0"/>
    </xf>
    <xf numFmtId="0" fontId="22" fillId="0" borderId="0" xfId="2" applyNumberFormat="1" applyFont="1" applyFill="1" applyAlignment="1">
      <alignment horizontal="left" vertical="center" wrapText="1"/>
    </xf>
    <xf numFmtId="0" fontId="38" fillId="2" borderId="1" xfId="2" applyNumberFormat="1" applyFont="1" applyFill="1" applyBorder="1" applyAlignment="1" applyProtection="1">
      <alignment horizontal="center" vertical="center" wrapText="1"/>
      <protection locked="0"/>
    </xf>
    <xf numFmtId="0" fontId="41" fillId="2" borderId="0" xfId="2" applyNumberFormat="1" applyFont="1" applyFill="1" applyAlignment="1" applyProtection="1">
      <alignment vertical="top"/>
      <protection locked="0"/>
    </xf>
    <xf numFmtId="168" fontId="42" fillId="2" borderId="1" xfId="0" applyNumberFormat="1" applyFont="1" applyFill="1" applyBorder="1" applyAlignment="1">
      <alignment horizontal="center" vertical="center"/>
    </xf>
    <xf numFmtId="0" fontId="42" fillId="2" borderId="1" xfId="2" applyNumberFormat="1" applyFont="1" applyFill="1" applyBorder="1" applyAlignment="1" applyProtection="1">
      <alignment vertical="top"/>
      <protection locked="0"/>
    </xf>
    <xf numFmtId="49" fontId="42" fillId="2" borderId="1" xfId="2" applyNumberFormat="1" applyFont="1" applyFill="1" applyBorder="1" applyAlignment="1" applyProtection="1">
      <alignment horizontal="left" vertical="top" wrapText="1"/>
      <protection locked="0"/>
    </xf>
    <xf numFmtId="0" fontId="43" fillId="2" borderId="1" xfId="2" applyNumberFormat="1" applyFont="1" applyFill="1" applyBorder="1" applyAlignment="1" applyProtection="1">
      <alignment vertical="center" wrapText="1"/>
      <protection locked="0"/>
    </xf>
    <xf numFmtId="165" fontId="42" fillId="2" borderId="1" xfId="2" applyNumberFormat="1" applyFont="1" applyFill="1" applyBorder="1" applyAlignment="1" applyProtection="1">
      <alignment horizontal="center" vertical="top" wrapText="1"/>
      <protection locked="0"/>
    </xf>
    <xf numFmtId="0" fontId="42" fillId="2" borderId="1" xfId="2" applyNumberFormat="1" applyFont="1" applyFill="1" applyBorder="1" applyAlignment="1" applyProtection="1">
      <alignment vertical="top" wrapText="1"/>
      <protection locked="0"/>
    </xf>
    <xf numFmtId="0" fontId="42" fillId="2" borderId="1" xfId="2" applyNumberFormat="1" applyFont="1" applyFill="1" applyBorder="1" applyAlignment="1" applyProtection="1">
      <alignment vertical="center" wrapText="1"/>
      <protection locked="0"/>
    </xf>
    <xf numFmtId="165" fontId="42" fillId="2" borderId="1" xfId="2" applyNumberFormat="1" applyFont="1" applyFill="1" applyBorder="1" applyAlignment="1" applyProtection="1">
      <alignment horizontal="center" vertical="center" wrapText="1"/>
      <protection locked="0"/>
    </xf>
    <xf numFmtId="0" fontId="43" fillId="11" borderId="1" xfId="2" applyNumberFormat="1" applyFont="1" applyFill="1" applyBorder="1" applyAlignment="1" applyProtection="1">
      <alignment vertical="center" wrapText="1"/>
      <protection locked="0"/>
    </xf>
    <xf numFmtId="165" fontId="38" fillId="2" borderId="1" xfId="2" applyNumberFormat="1" applyFont="1" applyFill="1" applyBorder="1" applyAlignment="1" applyProtection="1">
      <alignment horizontal="center" vertical="center" wrapText="1"/>
      <protection locked="0"/>
    </xf>
    <xf numFmtId="0" fontId="38" fillId="2" borderId="1" xfId="2" applyNumberFormat="1" applyFont="1" applyFill="1" applyBorder="1" applyAlignment="1" applyProtection="1">
      <alignment vertical="center" wrapText="1"/>
      <protection locked="0"/>
    </xf>
    <xf numFmtId="165" fontId="38" fillId="2" borderId="1" xfId="2" applyNumberFormat="1" applyFont="1" applyFill="1" applyBorder="1" applyAlignment="1" applyProtection="1">
      <alignment horizontal="center" vertical="top" wrapText="1"/>
      <protection locked="0"/>
    </xf>
    <xf numFmtId="0" fontId="38" fillId="2" borderId="1" xfId="2" applyNumberFormat="1" applyFont="1" applyFill="1" applyBorder="1" applyAlignment="1" applyProtection="1">
      <alignment vertical="top" wrapText="1"/>
      <protection locked="0"/>
    </xf>
    <xf numFmtId="0" fontId="38" fillId="2" borderId="0" xfId="2" applyNumberFormat="1" applyFont="1" applyFill="1" applyAlignment="1" applyProtection="1">
      <alignment vertical="top" wrapText="1"/>
      <protection locked="0"/>
    </xf>
    <xf numFmtId="165" fontId="51" fillId="2" borderId="0" xfId="2" applyNumberFormat="1" applyFont="1" applyFill="1" applyAlignment="1" applyProtection="1">
      <alignment vertical="top" wrapText="1"/>
      <protection locked="0"/>
    </xf>
    <xf numFmtId="0" fontId="51" fillId="2" borderId="0" xfId="2" applyNumberFormat="1" applyFont="1" applyFill="1" applyAlignment="1" applyProtection="1">
      <alignment vertical="top" wrapText="1"/>
      <protection locked="0"/>
    </xf>
    <xf numFmtId="0" fontId="40" fillId="2" borderId="1" xfId="2" applyNumberFormat="1" applyFont="1" applyFill="1" applyBorder="1" applyAlignment="1" applyProtection="1">
      <alignment horizontal="left" vertical="center" wrapText="1"/>
      <protection locked="0"/>
    </xf>
    <xf numFmtId="0" fontId="54" fillId="0" borderId="0" xfId="2" applyNumberFormat="1" applyFont="1" applyFill="1" applyAlignment="1" applyProtection="1">
      <alignment vertical="center" wrapText="1"/>
      <protection locked="0"/>
    </xf>
    <xf numFmtId="0" fontId="40" fillId="2" borderId="0" xfId="2" applyNumberFormat="1" applyFont="1" applyFill="1" applyBorder="1" applyAlignment="1" applyProtection="1">
      <alignment horizontal="left" wrapText="1"/>
      <protection locked="0"/>
    </xf>
    <xf numFmtId="0" fontId="50" fillId="2" borderId="0" xfId="2" applyFont="1" applyFill="1" applyBorder="1" applyAlignment="1" applyProtection="1">
      <alignment horizontal="center" vertical="center" wrapText="1"/>
      <protection locked="0"/>
    </xf>
    <xf numFmtId="0" fontId="40" fillId="2" borderId="0" xfId="2" applyFont="1" applyFill="1" applyBorder="1" applyAlignment="1" applyProtection="1">
      <alignment horizontal="center" vertical="center" wrapText="1"/>
      <protection locked="0"/>
    </xf>
    <xf numFmtId="0" fontId="40" fillId="2" borderId="0" xfId="2" applyFont="1" applyFill="1" applyBorder="1" applyAlignment="1" applyProtection="1">
      <alignment horizontal="center" vertical="top" wrapText="1"/>
      <protection locked="0"/>
    </xf>
    <xf numFmtId="0" fontId="38" fillId="2" borderId="0" xfId="2" applyFont="1" applyFill="1" applyBorder="1" applyAlignment="1" applyProtection="1">
      <alignment horizontal="center" vertical="top" wrapText="1"/>
      <protection locked="0"/>
    </xf>
    <xf numFmtId="3" fontId="9" fillId="2" borderId="1" xfId="2" applyNumberFormat="1" applyFont="1" applyFill="1" applyBorder="1" applyAlignment="1" applyProtection="1">
      <alignment horizontal="center" vertical="center" wrapText="1"/>
      <protection locked="0"/>
    </xf>
    <xf numFmtId="0" fontId="12" fillId="2" borderId="6" xfId="2" applyNumberFormat="1" applyFont="1" applyFill="1" applyBorder="1" applyAlignment="1" applyProtection="1">
      <alignment horizontal="left" wrapText="1"/>
      <protection locked="0"/>
    </xf>
    <xf numFmtId="164" fontId="43" fillId="2" borderId="1" xfId="87" applyFont="1" applyFill="1" applyBorder="1" applyAlignment="1">
      <alignment vertical="center"/>
    </xf>
    <xf numFmtId="0" fontId="43" fillId="0" borderId="0" xfId="0" applyFont="1" applyAlignment="1">
      <alignment vertical="center"/>
    </xf>
    <xf numFmtId="0" fontId="45" fillId="2" borderId="12" xfId="0" applyFont="1" applyFill="1" applyBorder="1" applyAlignment="1">
      <alignment horizontal="left" vertical="center" wrapText="1"/>
    </xf>
    <xf numFmtId="0" fontId="42" fillId="2" borderId="13" xfId="0" applyFont="1" applyFill="1" applyBorder="1" applyAlignment="1">
      <alignment horizontal="right"/>
    </xf>
    <xf numFmtId="3" fontId="45" fillId="2" borderId="13" xfId="0" applyNumberFormat="1" applyFont="1" applyFill="1" applyBorder="1" applyAlignment="1" applyProtection="1">
      <alignment horizontal="right"/>
      <protection hidden="1"/>
    </xf>
    <xf numFmtId="3" fontId="45" fillId="2" borderId="14" xfId="0" applyNumberFormat="1" applyFont="1" applyFill="1" applyBorder="1" applyAlignment="1">
      <alignment horizontal="left" vertical="center" wrapText="1"/>
    </xf>
    <xf numFmtId="3" fontId="45" fillId="2" borderId="1" xfId="0" applyNumberFormat="1" applyFont="1" applyFill="1" applyBorder="1" applyAlignment="1">
      <alignment horizontal="left" vertical="center" wrapText="1"/>
    </xf>
    <xf numFmtId="0" fontId="42" fillId="2" borderId="1" xfId="0" applyFont="1" applyFill="1" applyBorder="1" applyAlignment="1">
      <alignment horizontal="right"/>
    </xf>
    <xf numFmtId="3" fontId="42" fillId="2" borderId="1" xfId="0" applyNumberFormat="1" applyFont="1" applyFill="1" applyBorder="1" applyAlignment="1">
      <alignment horizontal="right"/>
    </xf>
    <xf numFmtId="0" fontId="45" fillId="2" borderId="15" xfId="0" applyFont="1" applyFill="1" applyBorder="1" applyAlignment="1">
      <alignment horizontal="left" vertical="center" wrapText="1"/>
    </xf>
    <xf numFmtId="0" fontId="42" fillId="2" borderId="16" xfId="0" applyFont="1" applyFill="1" applyBorder="1" applyAlignment="1"/>
    <xf numFmtId="0" fontId="0" fillId="2" borderId="1" xfId="0" applyFill="1" applyBorder="1"/>
    <xf numFmtId="0" fontId="45" fillId="2" borderId="2" xfId="0" applyFont="1" applyFill="1" applyBorder="1" applyAlignment="1">
      <alignment horizontal="left" vertical="center" wrapText="1"/>
    </xf>
    <xf numFmtId="0" fontId="0" fillId="2" borderId="2" xfId="0" applyFill="1" applyBorder="1"/>
    <xf numFmtId="0" fontId="46" fillId="11" borderId="18" xfId="0" applyFont="1" applyFill="1" applyBorder="1"/>
    <xf numFmtId="0" fontId="45" fillId="2" borderId="1" xfId="0" applyFont="1" applyFill="1" applyBorder="1" applyAlignment="1">
      <alignment horizontal="left" vertical="center" wrapText="1"/>
    </xf>
    <xf numFmtId="3" fontId="45" fillId="2" borderId="1" xfId="0" applyNumberFormat="1" applyFont="1" applyFill="1" applyBorder="1" applyAlignment="1" applyProtection="1">
      <alignment horizontal="right"/>
      <protection hidden="1"/>
    </xf>
    <xf numFmtId="0" fontId="42" fillId="2" borderId="2" xfId="0" applyFont="1" applyFill="1" applyBorder="1" applyAlignment="1">
      <alignment horizontal="right"/>
    </xf>
    <xf numFmtId="3" fontId="42" fillId="2" borderId="2" xfId="0" applyNumberFormat="1" applyFont="1" applyFill="1" applyBorder="1" applyAlignment="1">
      <alignment horizontal="right"/>
    </xf>
    <xf numFmtId="9" fontId="44" fillId="11" borderId="19" xfId="1" applyFont="1" applyFill="1" applyBorder="1" applyAlignment="1">
      <alignment horizontal="right"/>
    </xf>
    <xf numFmtId="164" fontId="43" fillId="11" borderId="18" xfId="87" applyFont="1" applyFill="1" applyBorder="1" applyAlignment="1">
      <alignment vertical="center"/>
    </xf>
    <xf numFmtId="164" fontId="43" fillId="11" borderId="19" xfId="87" applyFont="1" applyFill="1" applyBorder="1" applyAlignment="1">
      <alignment vertical="center"/>
    </xf>
    <xf numFmtId="0" fontId="40" fillId="0" borderId="10" xfId="2" applyNumberFormat="1" applyFont="1" applyFill="1" applyBorder="1" applyAlignment="1" applyProtection="1">
      <alignment horizontal="left" vertical="center" wrapText="1"/>
      <protection locked="0"/>
    </xf>
    <xf numFmtId="0" fontId="40" fillId="0" borderId="7" xfId="2" applyNumberFormat="1" applyFont="1" applyFill="1" applyBorder="1" applyAlignment="1" applyProtection="1">
      <alignment horizontal="left" vertical="center" wrapText="1"/>
      <protection locked="0"/>
    </xf>
    <xf numFmtId="10" fontId="48" fillId="0" borderId="7" xfId="2" applyNumberFormat="1" applyFont="1" applyFill="1" applyBorder="1" applyAlignment="1" applyProtection="1">
      <alignment horizontal="center" vertical="center" wrapText="1"/>
      <protection locked="0"/>
    </xf>
    <xf numFmtId="10" fontId="40" fillId="0" borderId="7" xfId="2" applyNumberFormat="1" applyFont="1" applyFill="1" applyBorder="1" applyAlignment="1" applyProtection="1">
      <alignment horizontal="center" vertical="center" wrapText="1"/>
      <protection locked="0"/>
    </xf>
    <xf numFmtId="10" fontId="40" fillId="0" borderId="8" xfId="2" applyNumberFormat="1" applyFont="1" applyFill="1" applyBorder="1" applyAlignment="1" applyProtection="1">
      <alignment horizontal="center" vertical="center" wrapText="1"/>
      <protection locked="0"/>
    </xf>
    <xf numFmtId="0" fontId="27" fillId="0" borderId="10" xfId="0" applyNumberFormat="1" applyFont="1" applyFill="1" applyBorder="1" applyAlignment="1">
      <alignment horizontal="left" vertical="center" wrapText="1"/>
    </xf>
    <xf numFmtId="0" fontId="27" fillId="0" borderId="7" xfId="0" applyNumberFormat="1" applyFont="1" applyFill="1" applyBorder="1" applyAlignment="1">
      <alignment horizontal="left" vertical="center" wrapText="1"/>
    </xf>
    <xf numFmtId="167" fontId="13" fillId="0" borderId="7" xfId="4" applyNumberFormat="1" applyFont="1" applyFill="1" applyBorder="1" applyAlignment="1" applyProtection="1">
      <alignment horizontal="center" vertical="center" wrapText="1"/>
      <protection locked="0"/>
    </xf>
    <xf numFmtId="166" fontId="9" fillId="0" borderId="7" xfId="4" applyNumberFormat="1" applyFont="1" applyFill="1" applyBorder="1" applyAlignment="1" applyProtection="1">
      <alignment horizontal="center" vertical="center" wrapText="1"/>
      <protection locked="0"/>
    </xf>
    <xf numFmtId="166" fontId="9" fillId="0" borderId="7" xfId="2" applyNumberFormat="1" applyFont="1" applyFill="1" applyBorder="1" applyAlignment="1" applyProtection="1">
      <alignment horizontal="center" vertical="center" wrapText="1"/>
      <protection locked="0"/>
    </xf>
    <xf numFmtId="168" fontId="42" fillId="2" borderId="2" xfId="0" applyNumberFormat="1" applyFont="1" applyFill="1" applyBorder="1" applyAlignment="1">
      <alignment horizontal="center" vertical="center"/>
    </xf>
    <xf numFmtId="0" fontId="42" fillId="2" borderId="2" xfId="2" applyNumberFormat="1" applyFont="1" applyFill="1" applyBorder="1" applyAlignment="1" applyProtection="1">
      <alignment vertical="top"/>
      <protection locked="0"/>
    </xf>
    <xf numFmtId="0" fontId="42" fillId="2" borderId="6" xfId="2" applyNumberFormat="1" applyFont="1" applyFill="1" applyBorder="1" applyAlignment="1" applyProtection="1">
      <alignment vertical="center" wrapText="1"/>
      <protection locked="0"/>
    </xf>
    <xf numFmtId="165" fontId="42" fillId="2" borderId="6" xfId="2" applyNumberFormat="1" applyFont="1" applyFill="1" applyBorder="1" applyAlignment="1" applyProtection="1">
      <alignment horizontal="center" vertical="top" wrapText="1"/>
      <protection locked="0"/>
    </xf>
    <xf numFmtId="0" fontId="42" fillId="2" borderId="6" xfId="2" applyNumberFormat="1" applyFont="1" applyFill="1" applyBorder="1" applyAlignment="1" applyProtection="1">
      <alignment vertical="top" wrapText="1"/>
      <protection locked="0"/>
    </xf>
    <xf numFmtId="0" fontId="43" fillId="11" borderId="17" xfId="2" applyNumberFormat="1" applyFont="1" applyFill="1" applyBorder="1" applyAlignment="1" applyProtection="1">
      <alignment vertical="center" wrapText="1"/>
      <protection locked="0"/>
    </xf>
    <xf numFmtId="165" fontId="43" fillId="11" borderId="18" xfId="2" applyNumberFormat="1" applyFont="1" applyFill="1" applyBorder="1" applyAlignment="1" applyProtection="1">
      <alignment horizontal="center" vertical="center"/>
      <protection locked="0"/>
    </xf>
    <xf numFmtId="165" fontId="43" fillId="11" borderId="18" xfId="2" applyNumberFormat="1" applyFont="1" applyFill="1" applyBorder="1" applyAlignment="1" applyProtection="1">
      <alignment horizontal="center" vertical="center" wrapText="1"/>
      <protection locked="0"/>
    </xf>
    <xf numFmtId="165" fontId="42" fillId="11" borderId="18" xfId="2" applyNumberFormat="1" applyFont="1" applyFill="1" applyBorder="1" applyAlignment="1" applyProtection="1">
      <alignment horizontal="center" vertical="top" wrapText="1"/>
      <protection locked="0"/>
    </xf>
    <xf numFmtId="0" fontId="42" fillId="11" borderId="18" xfId="2" applyNumberFormat="1" applyFont="1" applyFill="1" applyBorder="1" applyAlignment="1" applyProtection="1">
      <alignment vertical="top" wrapText="1"/>
      <protection locked="0"/>
    </xf>
    <xf numFmtId="165" fontId="42" fillId="11" borderId="19" xfId="2" applyNumberFormat="1" applyFont="1" applyFill="1" applyBorder="1" applyAlignment="1" applyProtection="1">
      <alignment horizontal="center" vertical="top" wrapText="1"/>
      <protection locked="0"/>
    </xf>
    <xf numFmtId="0" fontId="38" fillId="11" borderId="17" xfId="2" applyNumberFormat="1" applyFont="1" applyFill="1" applyBorder="1" applyAlignment="1" applyProtection="1">
      <alignment horizontal="left" vertical="center" wrapText="1"/>
      <protection locked="0"/>
    </xf>
    <xf numFmtId="10" fontId="38" fillId="11" borderId="18" xfId="2" applyNumberFormat="1" applyFont="1" applyFill="1" applyBorder="1" applyAlignment="1" applyProtection="1">
      <alignment horizontal="center" vertical="center" wrapText="1"/>
      <protection locked="0"/>
    </xf>
    <xf numFmtId="3" fontId="44" fillId="11" borderId="17" xfId="0" applyNumberFormat="1" applyFont="1" applyFill="1" applyBorder="1" applyAlignment="1">
      <alignment horizontal="left" vertical="center" wrapText="1"/>
    </xf>
    <xf numFmtId="3" fontId="44" fillId="11" borderId="18" xfId="0" applyNumberFormat="1" applyFont="1" applyFill="1" applyBorder="1" applyAlignment="1">
      <alignment horizontal="left" vertical="center" wrapText="1"/>
    </xf>
    <xf numFmtId="9" fontId="43" fillId="11" borderId="18" xfId="1" applyFont="1" applyFill="1" applyBorder="1" applyAlignment="1">
      <alignment horizontal="right"/>
    </xf>
    <xf numFmtId="0" fontId="43" fillId="2" borderId="0" xfId="0" applyFont="1" applyFill="1" applyAlignment="1">
      <alignment vertical="center"/>
    </xf>
    <xf numFmtId="0" fontId="38" fillId="11" borderId="18" xfId="2" applyNumberFormat="1" applyFont="1" applyFill="1" applyBorder="1" applyAlignment="1" applyProtection="1">
      <alignment horizontal="center" vertical="center" wrapText="1"/>
      <protection locked="0"/>
    </xf>
    <xf numFmtId="0" fontId="17" fillId="9" borderId="0" xfId="2" applyNumberFormat="1" applyFont="1" applyFill="1" applyBorder="1" applyAlignment="1" applyProtection="1">
      <alignment vertical="center"/>
      <protection locked="0"/>
    </xf>
    <xf numFmtId="0" fontId="19" fillId="0" borderId="10" xfId="2" applyNumberFormat="1" applyFont="1" applyFill="1" applyBorder="1" applyAlignment="1" applyProtection="1">
      <alignment vertical="center" wrapText="1"/>
      <protection locked="0"/>
    </xf>
    <xf numFmtId="0" fontId="18" fillId="6" borderId="1" xfId="2" applyNumberFormat="1" applyFont="1" applyFill="1" applyBorder="1" applyAlignment="1" applyProtection="1">
      <alignment horizontal="left" vertical="center" wrapText="1"/>
      <protection locked="0"/>
    </xf>
    <xf numFmtId="49" fontId="20" fillId="6" borderId="1" xfId="2" applyNumberFormat="1" applyFont="1" applyFill="1" applyBorder="1" applyAlignment="1" applyProtection="1">
      <alignment horizontal="center" vertical="center"/>
      <protection locked="0"/>
    </xf>
    <xf numFmtId="10" fontId="38" fillId="2" borderId="1" xfId="2" applyNumberFormat="1" applyFont="1" applyFill="1" applyBorder="1" applyAlignment="1" applyProtection="1">
      <alignment horizontal="center" vertical="top" wrapText="1"/>
      <protection locked="0"/>
    </xf>
    <xf numFmtId="0" fontId="38" fillId="11" borderId="1" xfId="2" applyNumberFormat="1" applyFont="1" applyFill="1" applyBorder="1" applyAlignment="1">
      <alignment horizontal="left" vertical="center" wrapText="1"/>
    </xf>
    <xf numFmtId="0" fontId="41" fillId="11" borderId="1" xfId="2" applyNumberFormat="1" applyFont="1" applyFill="1" applyBorder="1" applyAlignment="1">
      <alignment vertical="top" wrapText="1"/>
    </xf>
    <xf numFmtId="0" fontId="40" fillId="0" borderId="0" xfId="2" applyNumberFormat="1" applyFont="1" applyFill="1" applyAlignment="1">
      <alignment vertical="top" wrapText="1"/>
    </xf>
    <xf numFmtId="0" fontId="40" fillId="0" borderId="0" xfId="2" applyNumberFormat="1" applyFont="1" applyFill="1" applyBorder="1" applyAlignment="1" applyProtection="1">
      <alignment vertical="top" wrapText="1"/>
      <protection locked="0"/>
    </xf>
    <xf numFmtId="0" fontId="41" fillId="2" borderId="0" xfId="2" applyNumberFormat="1" applyFont="1" applyFill="1" applyBorder="1" applyAlignment="1" applyProtection="1">
      <alignment vertical="top" wrapText="1"/>
      <protection locked="0"/>
    </xf>
    <xf numFmtId="0" fontId="41" fillId="2" borderId="24" xfId="2" applyNumberFormat="1" applyFont="1" applyFill="1" applyBorder="1" applyAlignment="1" applyProtection="1">
      <alignment vertical="top" wrapText="1"/>
      <protection locked="0"/>
    </xf>
    <xf numFmtId="3" fontId="58" fillId="0" borderId="26" xfId="92" applyNumberFormat="1" applyFont="1" applyFill="1" applyBorder="1" applyAlignment="1" applyProtection="1">
      <alignment horizontal="right" vertical="center" wrapText="1"/>
    </xf>
    <xf numFmtId="3" fontId="58" fillId="14" borderId="26" xfId="92" applyNumberFormat="1" applyFont="1" applyFill="1" applyBorder="1" applyAlignment="1" applyProtection="1">
      <alignment horizontal="right" vertical="center" wrapText="1"/>
    </xf>
    <xf numFmtId="3" fontId="58" fillId="15" borderId="26" xfId="92" applyNumberFormat="1" applyFont="1" applyFill="1" applyBorder="1" applyAlignment="1" applyProtection="1">
      <alignment horizontal="right" vertical="center" wrapText="1"/>
    </xf>
    <xf numFmtId="3" fontId="61" fillId="0" borderId="32" xfId="92" applyNumberFormat="1" applyFont="1" applyFill="1" applyBorder="1" applyAlignment="1" applyProtection="1">
      <alignment vertical="center"/>
    </xf>
    <xf numFmtId="3" fontId="61" fillId="14" borderId="32" xfId="92" applyNumberFormat="1" applyFont="1" applyFill="1" applyBorder="1" applyAlignment="1" applyProtection="1">
      <alignment horizontal="right" vertical="center"/>
    </xf>
    <xf numFmtId="3" fontId="61" fillId="13" borderId="38" xfId="92" applyNumberFormat="1" applyFont="1" applyFill="1" applyBorder="1" applyAlignment="1" applyProtection="1">
      <alignment horizontal="right" vertical="center"/>
    </xf>
    <xf numFmtId="3" fontId="58" fillId="14" borderId="39" xfId="92" applyNumberFormat="1" applyFont="1" applyFill="1" applyBorder="1" applyAlignment="1" applyProtection="1">
      <alignment horizontal="right" vertical="center" wrapText="1"/>
    </xf>
    <xf numFmtId="3" fontId="59" fillId="16" borderId="41" xfId="92" applyNumberFormat="1" applyFont="1" applyFill="1" applyBorder="1" applyAlignment="1" applyProtection="1">
      <alignment horizontal="right" vertical="center" wrapText="1"/>
    </xf>
    <xf numFmtId="3" fontId="61" fillId="15" borderId="32" xfId="92" applyNumberFormat="1" applyFont="1" applyFill="1" applyBorder="1" applyAlignment="1" applyProtection="1">
      <alignment horizontal="right" vertical="center"/>
    </xf>
    <xf numFmtId="3" fontId="56" fillId="16" borderId="42" xfId="92" applyNumberFormat="1" applyFont="1" applyFill="1" applyBorder="1" applyAlignment="1" applyProtection="1">
      <alignment horizontal="right" vertical="center"/>
    </xf>
    <xf numFmtId="174" fontId="61" fillId="0" borderId="32" xfId="91" applyNumberFormat="1" applyFont="1" applyFill="1" applyBorder="1" applyAlignment="1" applyProtection="1">
      <alignment vertical="center" wrapText="1"/>
    </xf>
    <xf numFmtId="3" fontId="61" fillId="0" borderId="32" xfId="91" applyNumberFormat="1" applyFont="1" applyFill="1" applyBorder="1" applyAlignment="1" applyProtection="1">
      <alignment vertical="center" wrapText="1"/>
    </xf>
    <xf numFmtId="3" fontId="61" fillId="14" borderId="32" xfId="91" applyNumberFormat="1" applyFont="1" applyFill="1" applyBorder="1" applyAlignment="1" applyProtection="1">
      <alignment horizontal="right" vertical="center" wrapText="1"/>
    </xf>
    <xf numFmtId="3" fontId="61" fillId="14" borderId="33" xfId="91" applyNumberFormat="1" applyFont="1" applyFill="1" applyBorder="1" applyAlignment="1" applyProtection="1">
      <alignment horizontal="right" vertical="center" wrapText="1"/>
    </xf>
    <xf numFmtId="3" fontId="59" fillId="16" borderId="42" xfId="92" applyNumberFormat="1" applyFont="1" applyFill="1" applyBorder="1" applyAlignment="1" applyProtection="1">
      <alignment horizontal="right" vertical="center"/>
    </xf>
    <xf numFmtId="3" fontId="61" fillId="14" borderId="47" xfId="91" applyNumberFormat="1" applyFont="1" applyFill="1" applyBorder="1" applyAlignment="1" applyProtection="1">
      <alignment horizontal="right" vertical="center" wrapText="1"/>
    </xf>
    <xf numFmtId="3" fontId="61" fillId="14" borderId="43" xfId="91" applyNumberFormat="1" applyFont="1" applyFill="1" applyBorder="1" applyAlignment="1" applyProtection="1">
      <alignment horizontal="right" vertical="center" wrapText="1"/>
    </xf>
    <xf numFmtId="3" fontId="59" fillId="16" borderId="48" xfId="92" applyNumberFormat="1" applyFont="1" applyFill="1" applyBorder="1" applyAlignment="1" applyProtection="1">
      <alignment horizontal="right" vertical="center"/>
    </xf>
    <xf numFmtId="174" fontId="35" fillId="13" borderId="49" xfId="91" applyNumberFormat="1" applyFont="1" applyFill="1" applyBorder="1" applyAlignment="1" applyProtection="1">
      <alignment horizontal="right" vertical="center" wrapText="1"/>
    </xf>
    <xf numFmtId="3" fontId="35" fillId="17" borderId="50" xfId="91" applyNumberFormat="1" applyFont="1" applyFill="1" applyBorder="1" applyAlignment="1" applyProtection="1">
      <alignment horizontal="right" vertical="center" wrapText="1"/>
    </xf>
    <xf numFmtId="3" fontId="35" fillId="17" borderId="51" xfId="92" applyNumberFormat="1" applyFont="1" applyFill="1" applyBorder="1" applyAlignment="1" applyProtection="1">
      <alignment horizontal="right" vertical="center" wrapText="1"/>
    </xf>
    <xf numFmtId="3" fontId="65" fillId="13" borderId="52" xfId="91" applyNumberFormat="1" applyFont="1" applyFill="1" applyBorder="1" applyAlignment="1" applyProtection="1">
      <alignment horizontal="right" vertical="center" wrapText="1"/>
    </xf>
    <xf numFmtId="3" fontId="58" fillId="0" borderId="53" xfId="92" applyNumberFormat="1" applyFont="1" applyFill="1" applyBorder="1" applyAlignment="1" applyProtection="1">
      <alignment horizontal="right" vertical="center" wrapText="1"/>
    </xf>
    <xf numFmtId="3" fontId="58" fillId="14" borderId="53" xfId="92" applyNumberFormat="1" applyFont="1" applyFill="1" applyBorder="1" applyAlignment="1" applyProtection="1">
      <alignment horizontal="right" vertical="center" wrapText="1"/>
    </xf>
    <xf numFmtId="3" fontId="58" fillId="15" borderId="53" xfId="92" applyNumberFormat="1" applyFont="1" applyFill="1" applyBorder="1" applyAlignment="1" applyProtection="1">
      <alignment horizontal="right" vertical="center" wrapText="1"/>
    </xf>
    <xf numFmtId="3" fontId="58" fillId="14" borderId="40" xfId="92" applyNumberFormat="1" applyFont="1" applyFill="1" applyBorder="1" applyAlignment="1" applyProtection="1">
      <alignment horizontal="right" vertical="center" wrapText="1"/>
    </xf>
    <xf numFmtId="3" fontId="56" fillId="16" borderId="48" xfId="92" applyNumberFormat="1" applyFont="1" applyFill="1" applyBorder="1" applyAlignment="1" applyProtection="1">
      <alignment horizontal="right" vertical="center"/>
    </xf>
    <xf numFmtId="3" fontId="61" fillId="13" borderId="38" xfId="91" applyNumberFormat="1" applyFont="1" applyFill="1" applyBorder="1" applyAlignment="1" applyProtection="1">
      <alignment horizontal="right" vertical="center" wrapText="1"/>
    </xf>
    <xf numFmtId="3" fontId="59" fillId="16" borderId="28" xfId="92" applyNumberFormat="1" applyFont="1" applyFill="1" applyBorder="1" applyAlignment="1" applyProtection="1">
      <alignment horizontal="right" vertical="center" wrapText="1"/>
    </xf>
    <xf numFmtId="3" fontId="9" fillId="0" borderId="1" xfId="2" applyNumberFormat="1" applyFont="1" applyFill="1" applyBorder="1" applyAlignment="1" applyProtection="1">
      <alignment horizontal="center" vertical="center" wrapText="1"/>
      <protection locked="0"/>
    </xf>
    <xf numFmtId="0" fontId="43" fillId="2" borderId="0" xfId="2" applyNumberFormat="1" applyFont="1" applyFill="1" applyAlignment="1" applyProtection="1">
      <alignment horizontal="center" vertical="center" wrapText="1"/>
      <protection locked="0"/>
    </xf>
    <xf numFmtId="0" fontId="9" fillId="2" borderId="1" xfId="2" applyNumberFormat="1" applyFont="1" applyFill="1" applyBorder="1" applyAlignment="1" applyProtection="1">
      <alignment vertical="center" wrapText="1"/>
      <protection locked="0"/>
    </xf>
    <xf numFmtId="165" fontId="6" fillId="2" borderId="1" xfId="2" applyNumberFormat="1" applyFont="1" applyFill="1" applyBorder="1" applyAlignment="1" applyProtection="1">
      <alignment horizontal="center" vertical="center" wrapText="1"/>
      <protection locked="0"/>
    </xf>
    <xf numFmtId="0" fontId="43" fillId="11" borderId="60" xfId="2" applyNumberFormat="1" applyFont="1" applyFill="1" applyBorder="1" applyAlignment="1" applyProtection="1">
      <alignment vertical="center" wrapText="1"/>
      <protection locked="0"/>
    </xf>
    <xf numFmtId="167" fontId="43" fillId="11" borderId="61" xfId="2" applyNumberFormat="1" applyFont="1" applyFill="1" applyBorder="1" applyAlignment="1" applyProtection="1">
      <alignment horizontal="center" vertical="top" wrapText="1"/>
      <protection locked="0"/>
    </xf>
    <xf numFmtId="0" fontId="43" fillId="11" borderId="61" xfId="2" applyNumberFormat="1" applyFont="1" applyFill="1" applyBorder="1" applyAlignment="1" applyProtection="1">
      <alignment vertical="top" wrapText="1"/>
      <protection locked="0"/>
    </xf>
    <xf numFmtId="10" fontId="43" fillId="11" borderId="62" xfId="2" applyNumberFormat="1" applyFont="1" applyFill="1" applyBorder="1" applyAlignment="1" applyProtection="1">
      <alignment horizontal="center" vertical="top" wrapText="1"/>
      <protection locked="0"/>
    </xf>
    <xf numFmtId="10" fontId="43" fillId="11" borderId="61" xfId="2" applyNumberFormat="1" applyFont="1" applyFill="1" applyBorder="1" applyAlignment="1" applyProtection="1">
      <alignment horizontal="center" vertical="center" wrapText="1"/>
      <protection locked="0"/>
    </xf>
    <xf numFmtId="167" fontId="43" fillId="11" borderId="61" xfId="2" applyNumberFormat="1" applyFont="1" applyFill="1" applyBorder="1" applyAlignment="1" applyProtection="1">
      <alignment horizontal="center" vertical="center" wrapText="1"/>
      <protection locked="0"/>
    </xf>
    <xf numFmtId="0" fontId="53" fillId="0" borderId="3" xfId="2" applyNumberFormat="1" applyFont="1" applyFill="1" applyBorder="1" applyAlignment="1" applyProtection="1">
      <alignment horizontal="center" vertical="center"/>
      <protection locked="0"/>
    </xf>
    <xf numFmtId="0" fontId="76" fillId="2" borderId="1" xfId="2" applyNumberFormat="1" applyFont="1" applyFill="1" applyBorder="1" applyAlignment="1" applyProtection="1">
      <alignment horizontal="center" vertical="center" wrapText="1"/>
      <protection locked="0"/>
    </xf>
    <xf numFmtId="0" fontId="53" fillId="0" borderId="3" xfId="2" applyNumberFormat="1" applyFont="1" applyFill="1" applyBorder="1" applyAlignment="1" applyProtection="1">
      <alignment horizontal="center" vertical="center" wrapText="1"/>
      <protection locked="0"/>
    </xf>
    <xf numFmtId="0" fontId="16" fillId="2" borderId="1" xfId="2" applyNumberFormat="1" applyFont="1" applyFill="1" applyBorder="1" applyAlignment="1" applyProtection="1">
      <alignment vertical="center" wrapText="1"/>
      <protection locked="0"/>
    </xf>
    <xf numFmtId="0" fontId="77" fillId="3" borderId="3" xfId="2" applyFont="1" applyFill="1" applyBorder="1" applyAlignment="1" applyProtection="1">
      <alignment vertical="center" wrapText="1"/>
      <protection locked="0"/>
    </xf>
    <xf numFmtId="0" fontId="78" fillId="3" borderId="3" xfId="2" applyFont="1" applyFill="1" applyBorder="1" applyAlignment="1" applyProtection="1">
      <alignment horizontal="center" vertical="center" wrapText="1"/>
      <protection locked="0"/>
    </xf>
    <xf numFmtId="0" fontId="53" fillId="2" borderId="0" xfId="2" applyNumberFormat="1" applyFont="1" applyFill="1" applyAlignment="1" applyProtection="1">
      <alignment horizontal="center" vertical="center"/>
      <protection locked="0"/>
    </xf>
    <xf numFmtId="0" fontId="53" fillId="3" borderId="1" xfId="2" applyNumberFormat="1" applyFont="1" applyFill="1" applyBorder="1" applyAlignment="1" applyProtection="1">
      <alignment horizontal="center" vertical="center" wrapText="1"/>
      <protection locked="0"/>
    </xf>
    <xf numFmtId="0" fontId="53" fillId="2" borderId="3" xfId="2" applyNumberFormat="1" applyFont="1" applyFill="1" applyBorder="1" applyAlignment="1" applyProtection="1">
      <alignment horizontal="center" vertical="center" wrapText="1"/>
      <protection locked="0"/>
    </xf>
    <xf numFmtId="0" fontId="53" fillId="2" borderId="1" xfId="2" applyNumberFormat="1" applyFont="1" applyFill="1" applyBorder="1" applyAlignment="1" applyProtection="1">
      <alignment vertical="center" wrapText="1"/>
      <protection locked="0"/>
    </xf>
    <xf numFmtId="4" fontId="9" fillId="0" borderId="1" xfId="2" applyNumberFormat="1" applyFont="1" applyFill="1" applyBorder="1" applyAlignment="1" applyProtection="1">
      <alignment horizontal="center" vertical="center" wrapText="1"/>
      <protection locked="0"/>
    </xf>
    <xf numFmtId="49" fontId="42" fillId="2" borderId="2" xfId="2" applyNumberFormat="1" applyFont="1" applyFill="1" applyBorder="1" applyAlignment="1" applyProtection="1">
      <alignment horizontal="left" vertical="center" wrapText="1"/>
      <protection locked="0"/>
    </xf>
    <xf numFmtId="49" fontId="42" fillId="2" borderId="1" xfId="2" applyNumberFormat="1" applyFont="1" applyFill="1" applyBorder="1" applyAlignment="1" applyProtection="1">
      <alignment horizontal="left" vertical="center" wrapText="1"/>
      <protection locked="0"/>
    </xf>
    <xf numFmtId="0" fontId="24" fillId="0" borderId="6" xfId="0" applyFont="1" applyBorder="1" applyAlignment="1">
      <alignment horizontal="center" vertical="center" wrapText="1"/>
    </xf>
    <xf numFmtId="3" fontId="28" fillId="0" borderId="6" xfId="2" applyNumberFormat="1" applyFont="1" applyFill="1" applyBorder="1" applyAlignment="1" applyProtection="1">
      <alignment horizontal="center" vertical="center" wrapText="1"/>
      <protection locked="0"/>
    </xf>
    <xf numFmtId="3" fontId="9" fillId="0" borderId="6" xfId="2" applyNumberFormat="1" applyFont="1" applyFill="1" applyBorder="1" applyAlignment="1" applyProtection="1">
      <alignment horizontal="center" vertical="center" wrapText="1"/>
      <protection locked="0"/>
    </xf>
    <xf numFmtId="3" fontId="9" fillId="2" borderId="1" xfId="2" applyNumberFormat="1" applyFont="1" applyFill="1" applyBorder="1" applyAlignment="1" applyProtection="1">
      <alignment horizontal="center" vertical="center" wrapText="1"/>
      <protection locked="0"/>
    </xf>
    <xf numFmtId="0" fontId="38" fillId="0" borderId="0" xfId="2" applyNumberFormat="1" applyFont="1" applyFill="1" applyAlignment="1">
      <alignment vertical="top" wrapText="1"/>
    </xf>
    <xf numFmtId="0" fontId="80" fillId="0" borderId="0" xfId="0" applyFont="1"/>
    <xf numFmtId="0" fontId="38" fillId="0" borderId="0" xfId="0" applyFont="1" applyAlignment="1">
      <alignment horizontal="left" vertical="center"/>
    </xf>
    <xf numFmtId="3" fontId="9" fillId="2" borderId="1" xfId="2" applyNumberFormat="1" applyFont="1" applyFill="1" applyBorder="1" applyAlignment="1" applyProtection="1">
      <alignment vertical="center" wrapText="1"/>
      <protection locked="0"/>
    </xf>
    <xf numFmtId="3" fontId="12" fillId="0" borderId="1" xfId="2" applyNumberFormat="1" applyFont="1" applyFill="1" applyBorder="1" applyAlignment="1" applyProtection="1">
      <alignment horizontal="center" vertical="center" wrapText="1"/>
      <protection locked="0"/>
    </xf>
    <xf numFmtId="0" fontId="40" fillId="0" borderId="1" xfId="2" applyFont="1" applyFill="1" applyBorder="1" applyAlignment="1" applyProtection="1">
      <alignment horizontal="center" vertical="center" wrapText="1"/>
      <protection locked="0"/>
    </xf>
    <xf numFmtId="0" fontId="81" fillId="0" borderId="1" xfId="0" applyFont="1" applyBorder="1" applyAlignment="1">
      <alignment horizontal="center" vertical="center"/>
    </xf>
    <xf numFmtId="4" fontId="40" fillId="0" borderId="1" xfId="2" applyNumberFormat="1" applyFont="1" applyFill="1" applyBorder="1" applyAlignment="1" applyProtection="1">
      <alignment horizontal="center" vertical="center" wrapText="1"/>
      <protection locked="0"/>
    </xf>
    <xf numFmtId="4" fontId="42" fillId="0" borderId="1" xfId="0" applyNumberFormat="1" applyFont="1" applyBorder="1" applyAlignment="1">
      <alignment horizontal="center" vertical="center"/>
    </xf>
    <xf numFmtId="49" fontId="23" fillId="2" borderId="1" xfId="2" applyNumberFormat="1" applyFont="1" applyFill="1" applyBorder="1" applyAlignment="1" applyProtection="1">
      <alignment horizontal="left" vertical="top" wrapText="1"/>
      <protection locked="0"/>
    </xf>
    <xf numFmtId="168" fontId="23" fillId="2" borderId="1" xfId="0" applyNumberFormat="1" applyFont="1" applyFill="1" applyBorder="1" applyAlignment="1">
      <alignment horizontal="center" vertical="center"/>
    </xf>
    <xf numFmtId="0" fontId="23" fillId="2" borderId="1" xfId="2" applyNumberFormat="1" applyFont="1" applyFill="1" applyBorder="1" applyAlignment="1" applyProtection="1">
      <alignment vertical="top"/>
      <protection locked="0"/>
    </xf>
    <xf numFmtId="0" fontId="82" fillId="2" borderId="0" xfId="2" applyNumberFormat="1" applyFont="1" applyFill="1" applyAlignment="1" applyProtection="1">
      <alignment vertical="top"/>
      <protection locked="0"/>
    </xf>
    <xf numFmtId="0" fontId="22" fillId="9" borderId="0" xfId="2" applyNumberFormat="1" applyFont="1" applyFill="1" applyAlignment="1" applyProtection="1">
      <alignment vertical="top" wrapText="1"/>
      <protection locked="0"/>
    </xf>
    <xf numFmtId="0" fontId="83" fillId="0" borderId="0" xfId="0" applyFont="1" applyAlignment="1">
      <alignment horizontal="left" vertical="center"/>
    </xf>
    <xf numFmtId="49" fontId="43" fillId="2" borderId="1" xfId="2" applyNumberFormat="1" applyFont="1" applyFill="1" applyBorder="1" applyAlignment="1" applyProtection="1">
      <alignment horizontal="left" vertical="center" wrapText="1"/>
      <protection locked="0"/>
    </xf>
    <xf numFmtId="165" fontId="29" fillId="2" borderId="1" xfId="2" applyNumberFormat="1" applyFont="1" applyFill="1" applyBorder="1" applyAlignment="1" applyProtection="1">
      <alignment horizontal="center" vertical="center"/>
      <protection locked="0"/>
    </xf>
    <xf numFmtId="168" fontId="29" fillId="2" borderId="1" xfId="2" applyNumberFormat="1" applyFont="1" applyFill="1" applyBorder="1" applyAlignment="1" applyProtection="1">
      <alignment horizontal="center" vertical="center"/>
      <protection locked="0"/>
    </xf>
    <xf numFmtId="168" fontId="29" fillId="2" borderId="1" xfId="0" applyNumberFormat="1" applyFont="1" applyFill="1" applyBorder="1" applyAlignment="1">
      <alignment horizontal="center" vertical="center"/>
    </xf>
    <xf numFmtId="165" fontId="29" fillId="2" borderId="2" xfId="2" applyNumberFormat="1" applyFont="1" applyFill="1" applyBorder="1" applyAlignment="1" applyProtection="1">
      <alignment horizontal="center" vertical="center"/>
      <protection locked="0"/>
    </xf>
    <xf numFmtId="165" fontId="29" fillId="2" borderId="6" xfId="2" applyNumberFormat="1" applyFont="1" applyFill="1" applyBorder="1" applyAlignment="1" applyProtection="1">
      <alignment horizontal="center" vertical="center"/>
      <protection locked="0"/>
    </xf>
    <xf numFmtId="165" fontId="29" fillId="2" borderId="6" xfId="2" applyNumberFormat="1" applyFont="1" applyFill="1" applyBorder="1" applyAlignment="1" applyProtection="1">
      <alignment horizontal="center" vertical="center" wrapText="1"/>
      <protection locked="0"/>
    </xf>
    <xf numFmtId="165" fontId="29" fillId="2" borderId="1" xfId="2" applyNumberFormat="1" applyFont="1" applyFill="1" applyBorder="1" applyAlignment="1" applyProtection="1">
      <alignment horizontal="center" vertical="center" wrapText="1"/>
      <protection locked="0"/>
    </xf>
    <xf numFmtId="167" fontId="83" fillId="2" borderId="1" xfId="2" applyNumberFormat="1" applyFont="1" applyFill="1" applyBorder="1" applyAlignment="1" applyProtection="1">
      <alignment horizontal="center" vertical="center" wrapText="1"/>
      <protection locked="0"/>
    </xf>
    <xf numFmtId="167" fontId="29" fillId="2" borderId="1" xfId="2" applyNumberFormat="1" applyFont="1" applyFill="1" applyBorder="1" applyAlignment="1" applyProtection="1">
      <alignment horizontal="center" vertical="center" wrapText="1"/>
      <protection locked="0"/>
    </xf>
    <xf numFmtId="167" fontId="42" fillId="2" borderId="1" xfId="2" applyNumberFormat="1" applyFont="1" applyFill="1" applyBorder="1" applyAlignment="1" applyProtection="1">
      <alignment horizontal="center" vertical="top" wrapText="1"/>
      <protection locked="0"/>
    </xf>
    <xf numFmtId="167" fontId="42" fillId="2" borderId="1" xfId="2" applyNumberFormat="1" applyFont="1" applyFill="1" applyBorder="1" applyAlignment="1" applyProtection="1">
      <alignment horizontal="center" vertical="center" wrapText="1"/>
      <protection locked="0"/>
    </xf>
    <xf numFmtId="167" fontId="42" fillId="2" borderId="1" xfId="2" applyNumberFormat="1" applyFont="1" applyFill="1" applyBorder="1" applyAlignment="1" applyProtection="1">
      <alignment vertical="top" wrapText="1"/>
      <protection locked="0"/>
    </xf>
    <xf numFmtId="1" fontId="29" fillId="2" borderId="1" xfId="2" applyNumberFormat="1" applyFont="1" applyFill="1" applyBorder="1" applyAlignment="1" applyProtection="1">
      <alignment horizontal="center" vertical="center" wrapText="1"/>
      <protection locked="0"/>
    </xf>
    <xf numFmtId="1" fontId="29" fillId="2" borderId="1" xfId="0" applyNumberFormat="1" applyFont="1" applyFill="1" applyBorder="1" applyAlignment="1">
      <alignment horizontal="center" vertical="center" wrapText="1"/>
    </xf>
    <xf numFmtId="0" fontId="29" fillId="2" borderId="1" xfId="2" applyNumberFormat="1" applyFont="1" applyFill="1" applyBorder="1" applyAlignment="1" applyProtection="1">
      <alignment horizontal="center" vertical="center" wrapText="1"/>
      <protection locked="0"/>
    </xf>
    <xf numFmtId="168" fontId="42" fillId="2" borderId="13" xfId="0" applyNumberFormat="1" applyFont="1" applyFill="1" applyBorder="1" applyAlignment="1">
      <alignment horizontal="right"/>
    </xf>
    <xf numFmtId="168" fontId="42" fillId="2" borderId="1" xfId="0" applyNumberFormat="1" applyFont="1" applyFill="1" applyBorder="1" applyAlignment="1">
      <alignment horizontal="right"/>
    </xf>
    <xf numFmtId="168" fontId="45" fillId="2" borderId="13" xfId="0" applyNumberFormat="1" applyFont="1" applyFill="1" applyBorder="1" applyAlignment="1">
      <alignment horizontal="right" vertical="center" wrapText="1"/>
    </xf>
    <xf numFmtId="168" fontId="45" fillId="2" borderId="1" xfId="0" applyNumberFormat="1" applyFont="1" applyFill="1" applyBorder="1" applyAlignment="1">
      <alignment horizontal="right" vertical="center" wrapText="1"/>
    </xf>
    <xf numFmtId="10" fontId="45" fillId="2" borderId="16" xfId="1" applyNumberFormat="1" applyFont="1" applyFill="1" applyBorder="1" applyAlignment="1">
      <alignment horizontal="right" vertical="center" wrapText="1"/>
    </xf>
    <xf numFmtId="10" fontId="44" fillId="11" borderId="18" xfId="1" applyNumberFormat="1" applyFont="1" applyFill="1" applyBorder="1" applyAlignment="1">
      <alignment horizontal="right" vertical="center" wrapText="1"/>
    </xf>
    <xf numFmtId="10" fontId="43" fillId="11" borderId="18" xfId="1" applyNumberFormat="1" applyFont="1" applyFill="1" applyBorder="1" applyAlignment="1">
      <alignment horizontal="right"/>
    </xf>
    <xf numFmtId="176" fontId="42" fillId="2" borderId="1" xfId="87" applyNumberFormat="1" applyFont="1" applyFill="1" applyBorder="1" applyAlignment="1">
      <alignment horizontal="right"/>
    </xf>
    <xf numFmtId="176" fontId="42" fillId="2" borderId="2" xfId="87" applyNumberFormat="1" applyFont="1" applyFill="1" applyBorder="1" applyAlignment="1">
      <alignment horizontal="right"/>
    </xf>
    <xf numFmtId="0" fontId="46" fillId="0" borderId="0" xfId="0" applyFont="1"/>
    <xf numFmtId="10" fontId="43" fillId="11" borderId="18" xfId="1" applyNumberFormat="1" applyFont="1" applyFill="1" applyBorder="1" applyAlignment="1">
      <alignment vertical="center"/>
    </xf>
    <xf numFmtId="176" fontId="40" fillId="2" borderId="1" xfId="87" applyNumberFormat="1" applyFont="1" applyFill="1" applyBorder="1" applyAlignment="1" applyProtection="1">
      <alignment horizontal="center" vertical="center" wrapText="1"/>
      <protection locked="0"/>
    </xf>
    <xf numFmtId="176" fontId="42" fillId="2" borderId="1" xfId="87" applyNumberFormat="1" applyFont="1" applyFill="1" applyBorder="1" applyAlignment="1">
      <alignment vertical="center"/>
    </xf>
    <xf numFmtId="164" fontId="42" fillId="2" borderId="1" xfId="87" applyNumberFormat="1" applyFont="1" applyFill="1" applyBorder="1" applyAlignment="1">
      <alignment vertical="center"/>
    </xf>
    <xf numFmtId="0" fontId="0" fillId="2" borderId="0" xfId="0" applyFill="1"/>
    <xf numFmtId="0" fontId="46" fillId="2" borderId="0" xfId="0" applyFont="1" applyFill="1"/>
    <xf numFmtId="0" fontId="38" fillId="2" borderId="0" xfId="2" applyNumberFormat="1" applyFont="1" applyFill="1" applyBorder="1" applyAlignment="1" applyProtection="1">
      <alignment horizontal="center" vertical="center" wrapText="1"/>
      <protection locked="0"/>
    </xf>
    <xf numFmtId="0" fontId="51" fillId="2" borderId="0" xfId="2" applyNumberFormat="1" applyFont="1" applyFill="1" applyBorder="1" applyAlignment="1" applyProtection="1">
      <alignment horizontal="center" vertical="center" wrapText="1"/>
      <protection locked="0"/>
    </xf>
    <xf numFmtId="0" fontId="2" fillId="0" borderId="0" xfId="2" applyFont="1" applyFill="1" applyAlignment="1"/>
    <xf numFmtId="0" fontId="2" fillId="13" borderId="0" xfId="2" applyFont="1" applyFill="1" applyAlignment="1"/>
    <xf numFmtId="0" fontId="2" fillId="18" borderId="0" xfId="2" applyFont="1" applyFill="1" applyAlignment="1"/>
    <xf numFmtId="0" fontId="2" fillId="2" borderId="0" xfId="2" applyFont="1" applyFill="1" applyAlignment="1"/>
    <xf numFmtId="0" fontId="2" fillId="20" borderId="0" xfId="2" applyFont="1" applyFill="1" applyAlignment="1"/>
    <xf numFmtId="0" fontId="2" fillId="21" borderId="0" xfId="2" applyFont="1" applyFill="1" applyAlignment="1"/>
    <xf numFmtId="0" fontId="67" fillId="2" borderId="0" xfId="2" applyFont="1" applyFill="1" applyAlignment="1">
      <alignment vertical="center"/>
    </xf>
    <xf numFmtId="0" fontId="61" fillId="2" borderId="0" xfId="2" applyFont="1" applyFill="1" applyBorder="1" applyAlignment="1">
      <alignment vertical="center" wrapText="1"/>
    </xf>
    <xf numFmtId="0" fontId="58" fillId="2" borderId="0" xfId="2" applyFont="1" applyFill="1" applyBorder="1" applyAlignment="1" applyProtection="1">
      <alignment vertical="center" textRotation="90" wrapText="1"/>
    </xf>
    <xf numFmtId="0" fontId="64" fillId="0" borderId="0" xfId="2" applyFont="1"/>
    <xf numFmtId="1" fontId="35" fillId="13" borderId="43" xfId="2" applyNumberFormat="1" applyFont="1" applyFill="1" applyBorder="1" applyAlignment="1">
      <alignment vertical="center"/>
    </xf>
    <xf numFmtId="3" fontId="35" fillId="14" borderId="47" xfId="92" applyNumberFormat="1" applyFont="1" applyFill="1" applyBorder="1" applyAlignment="1" applyProtection="1">
      <alignment horizontal="right" vertical="center"/>
    </xf>
    <xf numFmtId="3" fontId="35" fillId="15" borderId="47" xfId="92" applyNumberFormat="1" applyFont="1" applyFill="1" applyBorder="1" applyAlignment="1" applyProtection="1">
      <alignment horizontal="right" vertical="center"/>
    </xf>
    <xf numFmtId="1" fontId="35" fillId="23" borderId="43" xfId="91" applyNumberFormat="1" applyFont="1" applyFill="1" applyBorder="1" applyAlignment="1" applyProtection="1">
      <alignment horizontal="right" vertical="center" wrapText="1"/>
    </xf>
    <xf numFmtId="1" fontId="35" fillId="14" borderId="43" xfId="94" applyNumberFormat="1" applyFont="1" applyFill="1" applyBorder="1" applyAlignment="1" applyProtection="1">
      <alignment horizontal="right" vertical="center" wrapText="1"/>
    </xf>
    <xf numFmtId="0" fontId="64" fillId="2" borderId="32" xfId="2" applyFont="1" applyFill="1" applyBorder="1" applyAlignment="1">
      <alignment vertical="center" wrapText="1"/>
    </xf>
    <xf numFmtId="0" fontId="63" fillId="2" borderId="66" xfId="2" applyFont="1" applyFill="1" applyBorder="1" applyAlignment="1" applyProtection="1">
      <alignment vertical="center" textRotation="90" wrapText="1"/>
    </xf>
    <xf numFmtId="3" fontId="59" fillId="16" borderId="67" xfId="92" applyNumberFormat="1" applyFont="1" applyFill="1" applyBorder="1" applyAlignment="1" applyProtection="1">
      <alignment horizontal="right" vertical="center" wrapText="1"/>
    </xf>
    <xf numFmtId="3" fontId="58" fillId="15" borderId="33" xfId="91" applyNumberFormat="1" applyFont="1" applyFill="1" applyBorder="1" applyAlignment="1" applyProtection="1">
      <alignment horizontal="right" vertical="center" wrapText="1"/>
    </xf>
    <xf numFmtId="3" fontId="58" fillId="22" borderId="32" xfId="92" applyNumberFormat="1" applyFont="1" applyFill="1" applyBorder="1" applyAlignment="1" applyProtection="1">
      <alignment horizontal="right" vertical="center"/>
    </xf>
    <xf numFmtId="1" fontId="61" fillId="13" borderId="33" xfId="2" applyNumberFormat="1" applyFont="1" applyFill="1" applyBorder="1" applyAlignment="1">
      <alignment vertical="center"/>
    </xf>
    <xf numFmtId="3" fontId="58" fillId="23" borderId="33" xfId="91" applyNumberFormat="1" applyFont="1" applyFill="1" applyBorder="1" applyAlignment="1" applyProtection="1">
      <alignment horizontal="right" vertical="center" wrapText="1"/>
    </xf>
    <xf numFmtId="1" fontId="58" fillId="23" borderId="33" xfId="91" applyNumberFormat="1" applyFont="1" applyFill="1" applyBorder="1" applyAlignment="1" applyProtection="1">
      <alignment horizontal="right" vertical="center" wrapText="1"/>
    </xf>
    <xf numFmtId="1" fontId="61" fillId="14" borderId="33" xfId="94" applyNumberFormat="1" applyFont="1" applyFill="1" applyBorder="1" applyAlignment="1" applyProtection="1">
      <alignment horizontal="right" vertical="center" wrapText="1"/>
    </xf>
    <xf numFmtId="0" fontId="60" fillId="2" borderId="32" xfId="2" applyFont="1" applyFill="1" applyBorder="1" applyAlignment="1">
      <alignment vertical="center" wrapText="1"/>
    </xf>
    <xf numFmtId="0" fontId="58" fillId="2" borderId="66" xfId="2" applyFont="1" applyFill="1" applyBorder="1" applyAlignment="1" applyProtection="1">
      <alignment vertical="center" textRotation="90" wrapText="1"/>
    </xf>
    <xf numFmtId="3" fontId="56" fillId="20" borderId="68" xfId="92" applyNumberFormat="1" applyFont="1" applyFill="1" applyBorder="1" applyAlignment="1" applyProtection="1">
      <alignment vertical="top"/>
    </xf>
    <xf numFmtId="3" fontId="85" fillId="20" borderId="69" xfId="92" applyNumberFormat="1" applyFont="1" applyFill="1" applyBorder="1" applyAlignment="1" applyProtection="1">
      <alignment vertical="top"/>
    </xf>
    <xf numFmtId="3" fontId="85" fillId="20" borderId="69" xfId="2" applyNumberFormat="1" applyFont="1" applyFill="1" applyBorder="1" applyAlignment="1" applyProtection="1">
      <alignment vertical="top"/>
    </xf>
    <xf numFmtId="0" fontId="61" fillId="0" borderId="56" xfId="2" applyFont="1" applyFill="1" applyBorder="1" applyAlignment="1">
      <alignment vertical="center"/>
    </xf>
    <xf numFmtId="0" fontId="58" fillId="0" borderId="36" xfId="2" applyFont="1" applyFill="1" applyBorder="1" applyAlignment="1" applyProtection="1">
      <alignment vertical="center" textRotation="90" wrapText="1"/>
    </xf>
    <xf numFmtId="0" fontId="67" fillId="0" borderId="0" xfId="2" applyFont="1" applyFill="1" applyAlignment="1">
      <alignment vertical="center"/>
    </xf>
    <xf numFmtId="10" fontId="68" fillId="16" borderId="71" xfId="2" applyNumberFormat="1" applyFont="1" applyFill="1" applyBorder="1" applyAlignment="1">
      <alignment horizontal="right" vertical="center"/>
    </xf>
    <xf numFmtId="167" fontId="74" fillId="15" borderId="54" xfId="2" applyNumberFormat="1" applyFont="1" applyFill="1" applyBorder="1" applyAlignment="1">
      <alignment horizontal="right" vertical="center"/>
    </xf>
    <xf numFmtId="167" fontId="58" fillId="22" borderId="54" xfId="2" applyNumberFormat="1" applyFont="1" applyFill="1" applyBorder="1" applyAlignment="1">
      <alignment horizontal="right" vertical="center"/>
    </xf>
    <xf numFmtId="167" fontId="58" fillId="13" borderId="54" xfId="2" applyNumberFormat="1" applyFont="1" applyFill="1" applyBorder="1" applyAlignment="1">
      <alignment horizontal="right" vertical="center"/>
    </xf>
    <xf numFmtId="167" fontId="58" fillId="15" borderId="54" xfId="2" applyNumberFormat="1" applyFont="1" applyFill="1" applyBorder="1" applyAlignment="1">
      <alignment horizontal="right" vertical="center"/>
    </xf>
    <xf numFmtId="167" fontId="58" fillId="14" borderId="54" xfId="2" applyNumberFormat="1" applyFont="1" applyFill="1" applyBorder="1" applyAlignment="1">
      <alignment horizontal="right" vertical="center"/>
    </xf>
    <xf numFmtId="167" fontId="58" fillId="0" borderId="54" xfId="2" applyNumberFormat="1" applyFont="1" applyFill="1" applyBorder="1" applyAlignment="1">
      <alignment vertical="center"/>
    </xf>
    <xf numFmtId="0" fontId="67" fillId="0" borderId="31" xfId="2" applyFont="1" applyFill="1" applyBorder="1" applyAlignment="1">
      <alignment vertical="center" wrapText="1"/>
    </xf>
    <xf numFmtId="0" fontId="58" fillId="0" borderId="30" xfId="2" applyFont="1" applyFill="1" applyBorder="1" applyAlignment="1" applyProtection="1">
      <alignment vertical="center" textRotation="90" wrapText="1"/>
    </xf>
    <xf numFmtId="3" fontId="61" fillId="15" borderId="43" xfId="95" applyNumberFormat="1" applyFont="1" applyFill="1" applyBorder="1" applyAlignment="1" applyProtection="1">
      <alignment vertical="center"/>
    </xf>
    <xf numFmtId="3" fontId="56" fillId="16" borderId="35" xfId="95" applyNumberFormat="1" applyFont="1" applyFill="1" applyBorder="1" applyAlignment="1" applyProtection="1">
      <alignment vertical="center"/>
    </xf>
    <xf numFmtId="3" fontId="61" fillId="15" borderId="33" xfId="95" applyNumberFormat="1" applyFont="1" applyFill="1" applyBorder="1" applyAlignment="1" applyProtection="1">
      <alignment vertical="center"/>
    </xf>
    <xf numFmtId="3" fontId="61" fillId="22" borderId="32" xfId="92" applyNumberFormat="1" applyFont="1" applyFill="1" applyBorder="1" applyAlignment="1" applyProtection="1">
      <alignment horizontal="right" vertical="center"/>
    </xf>
    <xf numFmtId="3" fontId="61" fillId="0" borderId="33" xfId="95" applyNumberFormat="1" applyFont="1" applyFill="1" applyBorder="1" applyAlignment="1" applyProtection="1">
      <alignment vertical="center"/>
    </xf>
    <xf numFmtId="0" fontId="60" fillId="0" borderId="31" xfId="2" applyFont="1" applyFill="1" applyBorder="1" applyAlignment="1">
      <alignment vertical="center" wrapText="1"/>
    </xf>
    <xf numFmtId="3" fontId="58" fillId="15" borderId="25" xfId="95" applyNumberFormat="1" applyFont="1" applyFill="1" applyBorder="1" applyAlignment="1" applyProtection="1">
      <alignment vertical="center"/>
    </xf>
    <xf numFmtId="3" fontId="58" fillId="22" borderId="26" xfId="92" applyNumberFormat="1" applyFont="1" applyFill="1" applyBorder="1" applyAlignment="1" applyProtection="1">
      <alignment horizontal="right" vertical="center" wrapText="1"/>
    </xf>
    <xf numFmtId="3" fontId="58" fillId="0" borderId="25" xfId="95" applyNumberFormat="1" applyFont="1" applyFill="1" applyBorder="1" applyAlignment="1" applyProtection="1">
      <alignment vertical="center"/>
    </xf>
    <xf numFmtId="3" fontId="61" fillId="22" borderId="33" xfId="91" applyNumberFormat="1" applyFont="1" applyFill="1" applyBorder="1" applyAlignment="1" applyProtection="1">
      <alignment horizontal="right" vertical="center" wrapText="1"/>
    </xf>
    <xf numFmtId="0" fontId="60" fillId="0" borderId="36" xfId="2" applyFont="1" applyFill="1" applyBorder="1" applyAlignment="1">
      <alignment vertical="center"/>
    </xf>
    <xf numFmtId="3" fontId="61" fillId="0" borderId="43" xfId="95" applyNumberFormat="1" applyFont="1" applyFill="1" applyBorder="1" applyAlignment="1" applyProtection="1">
      <alignment vertical="center"/>
    </xf>
    <xf numFmtId="3" fontId="61" fillId="0" borderId="47" xfId="2" applyNumberFormat="1" applyFont="1" applyFill="1" applyBorder="1" applyAlignment="1" applyProtection="1">
      <alignment horizontal="right" vertical="center" wrapText="1"/>
    </xf>
    <xf numFmtId="0" fontId="61" fillId="0" borderId="47" xfId="2" applyFont="1" applyFill="1" applyBorder="1" applyAlignment="1" applyProtection="1">
      <alignment horizontal="left" vertical="center" wrapText="1"/>
    </xf>
    <xf numFmtId="3" fontId="58" fillId="15" borderId="40" xfId="95" applyNumberFormat="1" applyFont="1" applyFill="1" applyBorder="1" applyAlignment="1" applyProtection="1">
      <alignment vertical="center"/>
    </xf>
    <xf numFmtId="3" fontId="58" fillId="22" borderId="72" xfId="92" applyNumberFormat="1" applyFont="1" applyFill="1" applyBorder="1" applyAlignment="1" applyProtection="1">
      <alignment horizontal="right" vertical="center" wrapText="1"/>
    </xf>
    <xf numFmtId="3" fontId="58" fillId="0" borderId="72" xfId="95" applyNumberFormat="1" applyFont="1" applyFill="1" applyBorder="1" applyAlignment="1" applyProtection="1">
      <alignment vertical="center"/>
    </xf>
    <xf numFmtId="3" fontId="58" fillId="0" borderId="40" xfId="95" applyNumberFormat="1" applyFont="1" applyFill="1" applyBorder="1" applyAlignment="1" applyProtection="1">
      <alignment vertical="center"/>
    </xf>
    <xf numFmtId="0" fontId="66" fillId="0" borderId="0" xfId="2" applyFont="1" applyBorder="1"/>
    <xf numFmtId="3" fontId="65" fillId="17" borderId="74" xfId="92" applyNumberFormat="1" applyFont="1" applyFill="1" applyBorder="1" applyAlignment="1" applyProtection="1">
      <alignment horizontal="right" vertical="center" wrapText="1"/>
    </xf>
    <xf numFmtId="3" fontId="65" fillId="17" borderId="75" xfId="95" applyNumberFormat="1" applyFont="1" applyFill="1" applyBorder="1" applyAlignment="1" applyProtection="1">
      <alignment vertical="center"/>
    </xf>
    <xf numFmtId="3" fontId="65" fillId="17" borderId="75" xfId="91" applyNumberFormat="1" applyFont="1" applyFill="1" applyBorder="1" applyAlignment="1" applyProtection="1">
      <alignment horizontal="right" vertical="center" wrapText="1"/>
    </xf>
    <xf numFmtId="3" fontId="65" fillId="13" borderId="75" xfId="95" applyNumberFormat="1" applyFont="1" applyFill="1" applyBorder="1" applyAlignment="1" applyProtection="1">
      <alignment vertical="center"/>
    </xf>
    <xf numFmtId="3" fontId="65" fillId="17" borderId="75" xfId="92" applyNumberFormat="1" applyFont="1" applyFill="1" applyBorder="1" applyAlignment="1" applyProtection="1">
      <alignment horizontal="right" vertical="center"/>
    </xf>
    <xf numFmtId="3" fontId="65" fillId="13" borderId="77" xfId="92" applyNumberFormat="1" applyFont="1" applyFill="1" applyBorder="1" applyAlignment="1" applyProtection="1">
      <alignment horizontal="right" vertical="center"/>
    </xf>
    <xf numFmtId="3" fontId="65" fillId="13" borderId="77" xfId="91" applyNumberFormat="1" applyFont="1" applyFill="1" applyBorder="1" applyAlignment="1" applyProtection="1">
      <alignment horizontal="right" vertical="center" wrapText="1"/>
    </xf>
    <xf numFmtId="3" fontId="65" fillId="13" borderId="77" xfId="95" applyNumberFormat="1" applyFont="1" applyFill="1" applyBorder="1" applyAlignment="1" applyProtection="1">
      <alignment vertical="center"/>
    </xf>
    <xf numFmtId="3" fontId="65" fillId="13" borderId="78" xfId="95" applyNumberFormat="1" applyFont="1" applyFill="1" applyBorder="1" applyAlignment="1" applyProtection="1">
      <alignment vertical="center"/>
    </xf>
    <xf numFmtId="3" fontId="65" fillId="13" borderId="75" xfId="91" applyNumberFormat="1" applyFont="1" applyFill="1" applyBorder="1" applyAlignment="1" applyProtection="1">
      <alignment horizontal="right" vertical="center" wrapText="1"/>
    </xf>
    <xf numFmtId="3" fontId="65" fillId="13" borderId="75" xfId="2" applyNumberFormat="1" applyFont="1" applyFill="1" applyBorder="1" applyAlignment="1" applyProtection="1">
      <alignment horizontal="right" vertical="center" wrapText="1"/>
    </xf>
    <xf numFmtId="3" fontId="65" fillId="13" borderId="76" xfId="2" applyNumberFormat="1" applyFont="1" applyFill="1" applyBorder="1" applyAlignment="1" applyProtection="1">
      <alignment horizontal="right" vertical="center" wrapText="1"/>
    </xf>
    <xf numFmtId="174" fontId="35" fillId="13" borderId="77" xfId="91" applyNumberFormat="1" applyFont="1" applyFill="1" applyBorder="1" applyAlignment="1" applyProtection="1">
      <alignment horizontal="right" vertical="center" wrapText="1"/>
    </xf>
    <xf numFmtId="0" fontId="64" fillId="0" borderId="0" xfId="2" applyFont="1" applyBorder="1"/>
    <xf numFmtId="3" fontId="35" fillId="17" borderId="50" xfId="95" applyNumberFormat="1" applyFont="1" applyFill="1" applyBorder="1" applyAlignment="1" applyProtection="1">
      <alignment vertical="center"/>
    </xf>
    <xf numFmtId="3" fontId="35" fillId="13" borderId="50" xfId="95" applyNumberFormat="1" applyFont="1" applyFill="1" applyBorder="1" applyAlignment="1" applyProtection="1">
      <alignment vertical="center"/>
    </xf>
    <xf numFmtId="3" fontId="35" fillId="17" borderId="50" xfId="92" applyNumberFormat="1" applyFont="1" applyFill="1" applyBorder="1" applyAlignment="1" applyProtection="1">
      <alignment horizontal="right" vertical="center"/>
    </xf>
    <xf numFmtId="3" fontId="35" fillId="13" borderId="49" xfId="92" applyNumberFormat="1" applyFont="1" applyFill="1" applyBorder="1" applyAlignment="1" applyProtection="1">
      <alignment horizontal="right" vertical="center"/>
    </xf>
    <xf numFmtId="3" fontId="35" fillId="13" borderId="49" xfId="91" applyNumberFormat="1" applyFont="1" applyFill="1" applyBorder="1" applyAlignment="1" applyProtection="1">
      <alignment horizontal="right" vertical="center" wrapText="1"/>
    </xf>
    <xf numFmtId="3" fontId="35" fillId="13" borderId="49" xfId="95" applyNumberFormat="1" applyFont="1" applyFill="1" applyBorder="1" applyAlignment="1" applyProtection="1">
      <alignment vertical="center"/>
    </xf>
    <xf numFmtId="3" fontId="35" fillId="13" borderId="80" xfId="95" applyNumberFormat="1" applyFont="1" applyFill="1" applyBorder="1" applyAlignment="1" applyProtection="1">
      <alignment vertical="center"/>
    </xf>
    <xf numFmtId="3" fontId="35" fillId="13" borderId="50" xfId="91" applyNumberFormat="1" applyFont="1" applyFill="1" applyBorder="1" applyAlignment="1" applyProtection="1">
      <alignment horizontal="right" vertical="center" wrapText="1"/>
    </xf>
    <xf numFmtId="3" fontId="35" fillId="13" borderId="50" xfId="2" applyNumberFormat="1" applyFont="1" applyFill="1" applyBorder="1" applyAlignment="1" applyProtection="1">
      <alignment horizontal="right" vertical="center" wrapText="1"/>
    </xf>
    <xf numFmtId="3" fontId="35" fillId="13" borderId="79" xfId="2" applyNumberFormat="1" applyFont="1" applyFill="1" applyBorder="1" applyAlignment="1" applyProtection="1">
      <alignment horizontal="right" vertical="center" wrapText="1"/>
    </xf>
    <xf numFmtId="0" fontId="64" fillId="0" borderId="0" xfId="2" applyFont="1" applyAlignment="1"/>
    <xf numFmtId="3" fontId="63" fillId="17" borderId="81" xfId="92" applyNumberFormat="1" applyFont="1" applyFill="1" applyBorder="1" applyAlignment="1" applyProtection="1">
      <alignment horizontal="right" wrapText="1"/>
    </xf>
    <xf numFmtId="3" fontId="63" fillId="17" borderId="82" xfId="95" applyNumberFormat="1" applyFont="1" applyFill="1" applyBorder="1" applyAlignment="1" applyProtection="1"/>
    <xf numFmtId="3" fontId="63" fillId="17" borderId="82" xfId="92" applyNumberFormat="1" applyFont="1" applyFill="1" applyBorder="1" applyAlignment="1" applyProtection="1">
      <alignment horizontal="right" wrapText="1"/>
    </xf>
    <xf numFmtId="3" fontId="63" fillId="13" borderId="82" xfId="95" applyNumberFormat="1" applyFont="1" applyFill="1" applyBorder="1" applyAlignment="1" applyProtection="1"/>
    <xf numFmtId="3" fontId="63" fillId="17" borderId="83" xfId="92" applyNumberFormat="1" applyFont="1" applyFill="1" applyBorder="1" applyAlignment="1" applyProtection="1">
      <alignment horizontal="right" wrapText="1"/>
    </xf>
    <xf numFmtId="3" fontId="62" fillId="13" borderId="84" xfId="92" applyNumberFormat="1" applyFont="1" applyFill="1" applyBorder="1" applyAlignment="1" applyProtection="1">
      <alignment horizontal="right" wrapText="1"/>
    </xf>
    <xf numFmtId="3" fontId="62" fillId="13" borderId="84" xfId="95" applyNumberFormat="1" applyFont="1" applyFill="1" applyBorder="1" applyAlignment="1" applyProtection="1"/>
    <xf numFmtId="3" fontId="62" fillId="13" borderId="85" xfId="95" applyNumberFormat="1" applyFont="1" applyFill="1" applyBorder="1" applyAlignment="1" applyProtection="1"/>
    <xf numFmtId="3" fontId="62" fillId="13" borderId="83" xfId="92" applyNumberFormat="1" applyFont="1" applyFill="1" applyBorder="1" applyAlignment="1" applyProtection="1">
      <alignment horizontal="right" wrapText="1"/>
    </xf>
    <xf numFmtId="2" fontId="62" fillId="13" borderId="84" xfId="92" applyNumberFormat="1" applyFont="1" applyFill="1" applyBorder="1" applyAlignment="1" applyProtection="1">
      <alignment horizontal="left" wrapText="1"/>
    </xf>
    <xf numFmtId="3" fontId="61" fillId="22" borderId="43" xfId="91" applyNumberFormat="1" applyFont="1" applyFill="1" applyBorder="1" applyAlignment="1" applyProtection="1">
      <alignment horizontal="right" vertical="center" wrapText="1"/>
    </xf>
    <xf numFmtId="3" fontId="61" fillId="23" borderId="43" xfId="95" applyNumberFormat="1" applyFont="1" applyFill="1" applyBorder="1" applyAlignment="1" applyProtection="1">
      <alignment vertical="center"/>
    </xf>
    <xf numFmtId="3" fontId="61" fillId="25" borderId="43" xfId="91" applyNumberFormat="1" applyFont="1" applyFill="1" applyBorder="1" applyAlignment="1" applyProtection="1">
      <alignment horizontal="right" vertical="center" wrapText="1"/>
    </xf>
    <xf numFmtId="3" fontId="61" fillId="23" borderId="47" xfId="92" applyNumberFormat="1" applyFont="1" applyFill="1" applyBorder="1" applyAlignment="1" applyProtection="1">
      <alignment horizontal="right" vertical="center"/>
    </xf>
    <xf numFmtId="3" fontId="61" fillId="25" borderId="47" xfId="91" applyNumberFormat="1" applyFont="1" applyFill="1" applyBorder="1" applyAlignment="1" applyProtection="1">
      <alignment horizontal="right" vertical="center" wrapText="1"/>
    </xf>
    <xf numFmtId="3" fontId="91" fillId="26" borderId="42" xfId="92" applyNumberFormat="1" applyFont="1" applyFill="1" applyBorder="1" applyAlignment="1" applyProtection="1">
      <alignment horizontal="right" vertical="center"/>
    </xf>
    <xf numFmtId="3" fontId="61" fillId="23" borderId="33" xfId="95" applyNumberFormat="1" applyFont="1" applyFill="1" applyBorder="1" applyAlignment="1" applyProtection="1">
      <alignment vertical="center"/>
    </xf>
    <xf numFmtId="3" fontId="61" fillId="25" borderId="33" xfId="91" applyNumberFormat="1" applyFont="1" applyFill="1" applyBorder="1" applyAlignment="1" applyProtection="1">
      <alignment horizontal="right" vertical="center" wrapText="1"/>
    </xf>
    <xf numFmtId="3" fontId="61" fillId="23" borderId="32" xfId="92" applyNumberFormat="1" applyFont="1" applyFill="1" applyBorder="1" applyAlignment="1" applyProtection="1">
      <alignment horizontal="right" vertical="center"/>
    </xf>
    <xf numFmtId="3" fontId="61" fillId="25" borderId="32" xfId="91" applyNumberFormat="1" applyFont="1" applyFill="1" applyBorder="1" applyAlignment="1" applyProtection="1">
      <alignment horizontal="right" vertical="center" wrapText="1"/>
    </xf>
    <xf numFmtId="3" fontId="59" fillId="16" borderId="87" xfId="92" applyNumberFormat="1" applyFont="1" applyFill="1" applyBorder="1" applyAlignment="1" applyProtection="1">
      <alignment horizontal="right" vertical="center" wrapText="1"/>
    </xf>
    <xf numFmtId="3" fontId="58" fillId="15" borderId="88" xfId="95" applyNumberFormat="1" applyFont="1" applyFill="1" applyBorder="1" applyAlignment="1" applyProtection="1">
      <alignment vertical="center"/>
    </xf>
    <xf numFmtId="3" fontId="58" fillId="22" borderId="88" xfId="92" applyNumberFormat="1" applyFont="1" applyFill="1" applyBorder="1" applyAlignment="1" applyProtection="1">
      <alignment horizontal="right" vertical="center" wrapText="1"/>
    </xf>
    <xf numFmtId="3" fontId="58" fillId="0" borderId="88" xfId="95" applyNumberFormat="1" applyFont="1" applyFill="1" applyBorder="1" applyAlignment="1" applyProtection="1">
      <alignment vertical="center"/>
    </xf>
    <xf numFmtId="3" fontId="58" fillId="0" borderId="44" xfId="95" applyNumberFormat="1" applyFont="1" applyFill="1" applyBorder="1" applyAlignment="1" applyProtection="1">
      <alignment vertical="center"/>
    </xf>
    <xf numFmtId="3" fontId="58" fillId="23" borderId="44" xfId="95" applyNumberFormat="1" applyFont="1" applyFill="1" applyBorder="1" applyAlignment="1" applyProtection="1">
      <alignment vertical="center"/>
    </xf>
    <xf numFmtId="3" fontId="58" fillId="25" borderId="44" xfId="92" applyNumberFormat="1" applyFont="1" applyFill="1" applyBorder="1" applyAlignment="1" applyProtection="1">
      <alignment horizontal="right" vertical="center" wrapText="1"/>
    </xf>
    <xf numFmtId="3" fontId="58" fillId="23" borderId="45" xfId="92" applyNumberFormat="1" applyFont="1" applyFill="1" applyBorder="1" applyAlignment="1" applyProtection="1">
      <alignment horizontal="right" vertical="center" wrapText="1"/>
    </xf>
    <xf numFmtId="3" fontId="58" fillId="23" borderId="26" xfId="92" applyNumberFormat="1" applyFont="1" applyFill="1" applyBorder="1" applyAlignment="1" applyProtection="1">
      <alignment horizontal="right" vertical="center" wrapText="1"/>
    </xf>
    <xf numFmtId="3" fontId="58" fillId="25" borderId="26" xfId="92" applyNumberFormat="1" applyFont="1" applyFill="1" applyBorder="1" applyAlignment="1" applyProtection="1">
      <alignment horizontal="right" vertical="center" wrapText="1"/>
    </xf>
    <xf numFmtId="3" fontId="58" fillId="23" borderId="25" xfId="95" applyNumberFormat="1" applyFont="1" applyFill="1" applyBorder="1" applyAlignment="1" applyProtection="1">
      <alignment vertical="center"/>
    </xf>
    <xf numFmtId="3" fontId="61" fillId="25" borderId="32" xfId="92" applyNumberFormat="1" applyFont="1" applyFill="1" applyBorder="1" applyAlignment="1" applyProtection="1">
      <alignment horizontal="right" vertical="center"/>
    </xf>
    <xf numFmtId="3" fontId="58" fillId="22" borderId="39" xfId="92" applyNumberFormat="1" applyFont="1" applyFill="1" applyBorder="1" applyAlignment="1" applyProtection="1">
      <alignment horizontal="right" vertical="center" wrapText="1"/>
    </xf>
    <xf numFmtId="3" fontId="58" fillId="23" borderId="40" xfId="95" applyNumberFormat="1" applyFont="1" applyFill="1" applyBorder="1" applyAlignment="1" applyProtection="1">
      <alignment vertical="center"/>
    </xf>
    <xf numFmtId="3" fontId="58" fillId="25" borderId="39" xfId="92" applyNumberFormat="1" applyFont="1" applyFill="1" applyBorder="1" applyAlignment="1" applyProtection="1">
      <alignment horizontal="right" vertical="center" wrapText="1"/>
    </xf>
    <xf numFmtId="3" fontId="58" fillId="23" borderId="39" xfId="92" applyNumberFormat="1" applyFont="1" applyFill="1" applyBorder="1" applyAlignment="1" applyProtection="1">
      <alignment horizontal="right" vertical="center" wrapText="1"/>
    </xf>
    <xf numFmtId="3" fontId="58" fillId="0" borderId="39" xfId="92" applyNumberFormat="1" applyFont="1" applyFill="1" applyBorder="1" applyAlignment="1" applyProtection="1">
      <alignment horizontal="right" vertical="center" wrapText="1"/>
    </xf>
    <xf numFmtId="0" fontId="2" fillId="13" borderId="0" xfId="2" applyFill="1"/>
    <xf numFmtId="0" fontId="56" fillId="13" borderId="38" xfId="2" applyFont="1" applyFill="1" applyBorder="1" applyAlignment="1" applyProtection="1">
      <alignment vertical="center" wrapText="1"/>
    </xf>
    <xf numFmtId="3" fontId="61" fillId="13" borderId="38" xfId="95" applyNumberFormat="1" applyFont="1" applyFill="1" applyBorder="1" applyAlignment="1" applyProtection="1">
      <alignment vertical="center"/>
    </xf>
    <xf numFmtId="3" fontId="61" fillId="13" borderId="38" xfId="92" applyNumberFormat="1" applyFont="1" applyFill="1" applyBorder="1" applyAlignment="1" applyProtection="1">
      <alignment vertical="center"/>
    </xf>
    <xf numFmtId="2" fontId="61" fillId="13" borderId="38" xfId="92" applyNumberFormat="1" applyFont="1" applyFill="1" applyBorder="1" applyAlignment="1" applyProtection="1">
      <alignment vertical="center"/>
    </xf>
    <xf numFmtId="0" fontId="58" fillId="13" borderId="38" xfId="2" applyFont="1" applyFill="1" applyBorder="1" applyAlignment="1" applyProtection="1">
      <alignment vertical="center" textRotation="90" wrapText="1"/>
    </xf>
    <xf numFmtId="3" fontId="61" fillId="15" borderId="37" xfId="95" applyNumberFormat="1" applyFont="1" applyFill="1" applyBorder="1" applyAlignment="1" applyProtection="1">
      <alignment vertical="center"/>
    </xf>
    <xf numFmtId="3" fontId="61" fillId="23" borderId="37" xfId="95" applyNumberFormat="1" applyFont="1" applyFill="1" applyBorder="1" applyAlignment="1" applyProtection="1">
      <alignment vertical="center"/>
    </xf>
    <xf numFmtId="0" fontId="56" fillId="16" borderId="35" xfId="2" applyFont="1" applyFill="1" applyBorder="1" applyAlignment="1" applyProtection="1">
      <alignment vertical="center" wrapText="1"/>
    </xf>
    <xf numFmtId="3" fontId="61" fillId="15" borderId="34" xfId="95" applyNumberFormat="1" applyFont="1" applyFill="1" applyBorder="1" applyAlignment="1" applyProtection="1">
      <alignment vertical="center"/>
    </xf>
    <xf numFmtId="3" fontId="61" fillId="22" borderId="33" xfId="95" applyNumberFormat="1" applyFont="1" applyFill="1" applyBorder="1" applyAlignment="1" applyProtection="1">
      <alignment vertical="center"/>
    </xf>
    <xf numFmtId="3" fontId="61" fillId="23" borderId="34" xfId="95" applyNumberFormat="1" applyFont="1" applyFill="1" applyBorder="1" applyAlignment="1" applyProtection="1">
      <alignment vertical="center"/>
    </xf>
    <xf numFmtId="3" fontId="61" fillId="25" borderId="33" xfId="95" applyNumberFormat="1" applyFont="1" applyFill="1" applyBorder="1" applyAlignment="1" applyProtection="1">
      <alignment vertical="center"/>
    </xf>
    <xf numFmtId="0" fontId="59" fillId="16" borderId="29" xfId="2" applyFont="1" applyFill="1" applyBorder="1" applyAlignment="1" applyProtection="1">
      <alignment vertical="center" wrapText="1"/>
    </xf>
    <xf numFmtId="3" fontId="58" fillId="15" borderId="27" xfId="95" applyNumberFormat="1" applyFont="1" applyFill="1" applyBorder="1" applyAlignment="1" applyProtection="1">
      <alignment vertical="center"/>
    </xf>
    <xf numFmtId="3" fontId="58" fillId="23" borderId="27" xfId="95" applyNumberFormat="1" applyFont="1" applyFill="1" applyBorder="1" applyAlignment="1" applyProtection="1">
      <alignment vertical="center"/>
    </xf>
    <xf numFmtId="0" fontId="93" fillId="0" borderId="0" xfId="2" applyFont="1" applyFill="1" applyAlignment="1">
      <alignment vertical="center" wrapText="1"/>
    </xf>
    <xf numFmtId="0" fontId="57" fillId="16" borderId="28" xfId="2" applyFont="1" applyFill="1" applyBorder="1" applyAlignment="1" applyProtection="1">
      <alignment horizontal="center" vertical="center" wrapText="1"/>
    </xf>
    <xf numFmtId="0" fontId="94" fillId="15" borderId="27" xfId="2" applyFont="1" applyFill="1" applyBorder="1" applyAlignment="1" applyProtection="1">
      <alignment horizontal="center" vertical="center" wrapText="1"/>
    </xf>
    <xf numFmtId="0" fontId="95" fillId="22" borderId="25" xfId="2" applyFont="1" applyFill="1" applyBorder="1" applyAlignment="1" applyProtection="1">
      <alignment horizontal="center" vertical="center" wrapText="1"/>
    </xf>
    <xf numFmtId="0" fontId="67" fillId="0" borderId="25" xfId="2" applyFont="1" applyFill="1" applyBorder="1" applyAlignment="1" applyProtection="1">
      <alignment horizontal="center" vertical="center" wrapText="1"/>
    </xf>
    <xf numFmtId="0" fontId="94" fillId="23" borderId="27" xfId="2" applyFont="1" applyFill="1" applyBorder="1" applyAlignment="1" applyProtection="1">
      <alignment horizontal="center" vertical="center" wrapText="1"/>
    </xf>
    <xf numFmtId="0" fontId="95" fillId="25" borderId="25" xfId="2" applyFont="1" applyFill="1" applyBorder="1" applyAlignment="1" applyProtection="1">
      <alignment horizontal="center" vertical="center" wrapText="1"/>
    </xf>
    <xf numFmtId="0" fontId="95" fillId="23" borderId="25" xfId="2" applyFont="1" applyFill="1" applyBorder="1" applyAlignment="1" applyProtection="1">
      <alignment horizontal="center" vertical="center" wrapText="1"/>
    </xf>
    <xf numFmtId="0" fontId="96" fillId="25" borderId="25" xfId="2" applyFont="1" applyFill="1" applyBorder="1" applyAlignment="1" applyProtection="1">
      <alignment horizontal="center" vertical="center" wrapText="1"/>
    </xf>
    <xf numFmtId="0" fontId="94" fillId="23" borderId="25" xfId="2" applyFont="1" applyFill="1" applyBorder="1" applyAlignment="1" applyProtection="1">
      <alignment horizontal="center" vertical="center" wrapText="1"/>
    </xf>
    <xf numFmtId="0" fontId="96" fillId="0" borderId="25" xfId="2" applyFont="1" applyFill="1" applyBorder="1" applyAlignment="1" applyProtection="1">
      <alignment horizontal="center" vertical="center" wrapText="1"/>
    </xf>
    <xf numFmtId="0" fontId="94" fillId="28" borderId="27" xfId="2" applyFont="1" applyFill="1" applyBorder="1" applyAlignment="1" applyProtection="1">
      <alignment horizontal="center" vertical="center" wrapText="1"/>
    </xf>
    <xf numFmtId="0" fontId="95" fillId="29" borderId="25" xfId="2" applyFont="1" applyFill="1" applyBorder="1" applyAlignment="1" applyProtection="1">
      <alignment horizontal="center" vertical="center" wrapText="1"/>
    </xf>
    <xf numFmtId="3" fontId="58" fillId="28" borderId="27" xfId="95" applyNumberFormat="1" applyFont="1" applyFill="1" applyBorder="1" applyAlignment="1" applyProtection="1">
      <alignment vertical="center"/>
    </xf>
    <xf numFmtId="3" fontId="58" fillId="0" borderId="25" xfId="95" applyNumberFormat="1" applyFont="1" applyFill="1" applyBorder="1" applyAlignment="1" applyProtection="1">
      <alignment horizontal="right" vertical="center"/>
    </xf>
    <xf numFmtId="3" fontId="58" fillId="29" borderId="26" xfId="92" applyNumberFormat="1" applyFont="1" applyFill="1" applyBorder="1" applyAlignment="1" applyProtection="1">
      <alignment horizontal="right" vertical="center" wrapText="1"/>
    </xf>
    <xf numFmtId="3" fontId="58" fillId="29" borderId="26" xfId="92" applyNumberFormat="1" applyFont="1" applyFill="1" applyBorder="1" applyAlignment="1" applyProtection="1">
      <alignment vertical="center" wrapText="1"/>
    </xf>
    <xf numFmtId="3" fontId="59" fillId="27" borderId="29" xfId="2" applyNumberFormat="1" applyFont="1" applyFill="1" applyBorder="1" applyAlignment="1" applyProtection="1">
      <alignment vertical="center" wrapText="1"/>
    </xf>
    <xf numFmtId="3" fontId="61" fillId="28" borderId="34" xfId="95" applyNumberFormat="1" applyFont="1" applyFill="1" applyBorder="1" applyAlignment="1" applyProtection="1">
      <alignment vertical="center"/>
    </xf>
    <xf numFmtId="3" fontId="61" fillId="0" borderId="33" xfId="95" applyNumberFormat="1" applyFont="1" applyFill="1" applyBorder="1" applyAlignment="1" applyProtection="1">
      <alignment horizontal="right" vertical="center"/>
    </xf>
    <xf numFmtId="3" fontId="61" fillId="29" borderId="33" xfId="95" applyNumberFormat="1" applyFont="1" applyFill="1" applyBorder="1" applyAlignment="1" applyProtection="1">
      <alignment vertical="center"/>
    </xf>
    <xf numFmtId="3" fontId="59" fillId="27" borderId="89" xfId="2" applyNumberFormat="1" applyFont="1" applyFill="1" applyBorder="1" applyAlignment="1" applyProtection="1">
      <alignment vertical="center" wrapText="1"/>
    </xf>
    <xf numFmtId="3" fontId="61" fillId="28" borderId="37" xfId="95" applyNumberFormat="1" applyFont="1" applyFill="1" applyBorder="1" applyAlignment="1" applyProtection="1">
      <alignment vertical="center"/>
    </xf>
    <xf numFmtId="3" fontId="61" fillId="30" borderId="38" xfId="95" applyNumberFormat="1" applyFont="1" applyFill="1" applyBorder="1" applyAlignment="1" applyProtection="1">
      <alignment vertical="center"/>
    </xf>
    <xf numFmtId="3" fontId="61" fillId="30" borderId="38" xfId="95" applyNumberFormat="1" applyFont="1" applyFill="1" applyBorder="1" applyAlignment="1" applyProtection="1">
      <alignment horizontal="right" vertical="center"/>
    </xf>
    <xf numFmtId="0" fontId="56" fillId="30" borderId="38" xfId="2" applyFont="1" applyFill="1" applyBorder="1" applyAlignment="1" applyProtection="1">
      <alignment vertical="center" wrapText="1"/>
    </xf>
    <xf numFmtId="3" fontId="58" fillId="28" borderId="40" xfId="95" applyNumberFormat="1" applyFont="1" applyFill="1" applyBorder="1" applyAlignment="1" applyProtection="1">
      <alignment vertical="center"/>
    </xf>
    <xf numFmtId="3" fontId="58" fillId="0" borderId="40" xfId="95" applyNumberFormat="1" applyFont="1" applyFill="1" applyBorder="1" applyAlignment="1" applyProtection="1">
      <alignment horizontal="right" vertical="center"/>
    </xf>
    <xf numFmtId="3" fontId="58" fillId="29" borderId="39" xfId="92" applyNumberFormat="1" applyFont="1" applyFill="1" applyBorder="1" applyAlignment="1" applyProtection="1">
      <alignment horizontal="right" vertical="center" wrapText="1"/>
    </xf>
    <xf numFmtId="3" fontId="58" fillId="29" borderId="39" xfId="92" applyNumberFormat="1" applyFont="1" applyFill="1" applyBorder="1" applyAlignment="1" applyProtection="1">
      <alignment vertical="center" wrapText="1"/>
    </xf>
    <xf numFmtId="3" fontId="59" fillId="27" borderId="41" xfId="92" applyNumberFormat="1" applyFont="1" applyFill="1" applyBorder="1" applyAlignment="1" applyProtection="1">
      <alignment vertical="center" wrapText="1"/>
    </xf>
    <xf numFmtId="3" fontId="61" fillId="28" borderId="33" xfId="95" applyNumberFormat="1" applyFont="1" applyFill="1" applyBorder="1" applyAlignment="1" applyProtection="1">
      <alignment vertical="center"/>
    </xf>
    <xf numFmtId="3" fontId="61" fillId="29" borderId="32" xfId="92" applyNumberFormat="1" applyFont="1" applyFill="1" applyBorder="1" applyAlignment="1" applyProtection="1">
      <alignment horizontal="right" vertical="center"/>
    </xf>
    <xf numFmtId="3" fontId="61" fillId="29" borderId="32" xfId="92" applyNumberFormat="1" applyFont="1" applyFill="1" applyBorder="1" applyAlignment="1" applyProtection="1">
      <alignment vertical="center"/>
    </xf>
    <xf numFmtId="3" fontId="59" fillId="27" borderId="90" xfId="92" applyNumberFormat="1" applyFont="1" applyFill="1" applyBorder="1" applyAlignment="1" applyProtection="1">
      <alignment vertical="center" wrapText="1"/>
    </xf>
    <xf numFmtId="3" fontId="61" fillId="28" borderId="43" xfId="95" applyNumberFormat="1" applyFont="1" applyFill="1" applyBorder="1" applyAlignment="1" applyProtection="1">
      <alignment vertical="center"/>
    </xf>
    <xf numFmtId="3" fontId="61" fillId="13" borderId="38" xfId="95" applyNumberFormat="1" applyFont="1" applyFill="1" applyBorder="1" applyAlignment="1" applyProtection="1">
      <alignment horizontal="right" vertical="center"/>
    </xf>
    <xf numFmtId="3" fontId="56" fillId="13" borderId="38" xfId="92" applyNumberFormat="1" applyFont="1" applyFill="1" applyBorder="1" applyAlignment="1" applyProtection="1">
      <alignment vertical="center"/>
    </xf>
    <xf numFmtId="3" fontId="58" fillId="28" borderId="44" xfId="95" applyNumberFormat="1" applyFont="1" applyFill="1" applyBorder="1" applyAlignment="1" applyProtection="1">
      <alignment vertical="center"/>
    </xf>
    <xf numFmtId="3" fontId="58" fillId="0" borderId="44" xfId="95" applyNumberFormat="1" applyFont="1" applyFill="1" applyBorder="1" applyAlignment="1" applyProtection="1">
      <alignment horizontal="right" vertical="center"/>
    </xf>
    <xf numFmtId="3" fontId="58" fillId="29" borderId="44" xfId="92" applyNumberFormat="1" applyFont="1" applyFill="1" applyBorder="1" applyAlignment="1" applyProtection="1">
      <alignment horizontal="right" vertical="center" wrapText="1"/>
    </xf>
    <xf numFmtId="3" fontId="58" fillId="29" borderId="44" xfId="92" applyNumberFormat="1" applyFont="1" applyFill="1" applyBorder="1" applyAlignment="1" applyProtection="1">
      <alignment vertical="center" wrapText="1"/>
    </xf>
    <xf numFmtId="3" fontId="59" fillId="27" borderId="46" xfId="92" applyNumberFormat="1" applyFont="1" applyFill="1" applyBorder="1" applyAlignment="1" applyProtection="1">
      <alignment vertical="center" wrapText="1"/>
    </xf>
    <xf numFmtId="3" fontId="61" fillId="29" borderId="43" xfId="91" applyNumberFormat="1" applyFont="1" applyFill="1" applyBorder="1" applyAlignment="1" applyProtection="1">
      <alignment horizontal="right" vertical="center" wrapText="1"/>
    </xf>
    <xf numFmtId="3" fontId="61" fillId="29" borderId="33" xfId="91" applyNumberFormat="1" applyFont="1" applyFill="1" applyBorder="1" applyAlignment="1" applyProtection="1">
      <alignment vertical="center" wrapText="1"/>
    </xf>
    <xf numFmtId="3" fontId="59" fillId="27" borderId="35" xfId="92" applyNumberFormat="1" applyFont="1" applyFill="1" applyBorder="1" applyAlignment="1" applyProtection="1">
      <alignment vertical="center" wrapText="1"/>
    </xf>
    <xf numFmtId="3" fontId="61" fillId="0" borderId="34" xfId="95" applyNumberFormat="1" applyFont="1" applyFill="1" applyBorder="1" applyAlignment="1" applyProtection="1">
      <alignment horizontal="right" vertical="center"/>
    </xf>
    <xf numFmtId="3" fontId="61" fillId="29" borderId="1" xfId="91" applyNumberFormat="1" applyFont="1" applyFill="1" applyBorder="1" applyAlignment="1" applyProtection="1">
      <alignment horizontal="right" vertical="center" wrapText="1"/>
    </xf>
    <xf numFmtId="3" fontId="61" fillId="0" borderId="32" xfId="95" applyNumberFormat="1" applyFont="1" applyFill="1" applyBorder="1" applyAlignment="1" applyProtection="1">
      <alignment horizontal="right" vertical="center"/>
    </xf>
    <xf numFmtId="3" fontId="61" fillId="28" borderId="1" xfId="95" applyNumberFormat="1" applyFont="1" applyFill="1" applyBorder="1" applyAlignment="1" applyProtection="1">
      <alignment vertical="center"/>
    </xf>
    <xf numFmtId="3" fontId="61" fillId="0" borderId="47" xfId="95" applyNumberFormat="1" applyFont="1" applyFill="1" applyBorder="1" applyAlignment="1" applyProtection="1">
      <alignment horizontal="right" vertical="center"/>
    </xf>
    <xf numFmtId="3" fontId="61" fillId="0" borderId="43" xfId="95" applyNumberFormat="1" applyFont="1" applyFill="1" applyBorder="1" applyAlignment="1" applyProtection="1">
      <alignment horizontal="right" vertical="center"/>
    </xf>
    <xf numFmtId="3" fontId="61" fillId="0" borderId="37" xfId="95" applyNumberFormat="1" applyFont="1" applyFill="1" applyBorder="1" applyAlignment="1" applyProtection="1">
      <alignment horizontal="right" vertical="center"/>
    </xf>
    <xf numFmtId="2" fontId="58" fillId="13" borderId="52" xfId="92" applyNumberFormat="1" applyFont="1" applyFill="1" applyBorder="1" applyAlignment="1" applyProtection="1">
      <alignment horizontal="center" vertical="center" wrapText="1"/>
    </xf>
    <xf numFmtId="174" fontId="35" fillId="13" borderId="52" xfId="91" applyNumberFormat="1" applyFont="1" applyFill="1" applyBorder="1" applyAlignment="1" applyProtection="1">
      <alignment horizontal="right" vertical="center" wrapText="1"/>
    </xf>
    <xf numFmtId="3" fontId="65" fillId="13" borderId="52" xfId="95" applyNumberFormat="1" applyFont="1" applyFill="1" applyBorder="1" applyAlignment="1" applyProtection="1">
      <alignment vertical="center"/>
    </xf>
    <xf numFmtId="3" fontId="65" fillId="13" borderId="52" xfId="95" applyNumberFormat="1" applyFont="1" applyFill="1" applyBorder="1" applyAlignment="1" applyProtection="1">
      <alignment horizontal="right" vertical="center"/>
    </xf>
    <xf numFmtId="3" fontId="65" fillId="13" borderId="52" xfId="91" applyNumberFormat="1" applyFont="1" applyFill="1" applyBorder="1" applyAlignment="1" applyProtection="1">
      <alignment vertical="center" wrapText="1"/>
    </xf>
    <xf numFmtId="3" fontId="65" fillId="13" borderId="52" xfId="92" applyNumberFormat="1" applyFont="1" applyFill="1" applyBorder="1" applyAlignment="1" applyProtection="1">
      <alignment vertical="center" wrapText="1"/>
    </xf>
    <xf numFmtId="3" fontId="58" fillId="0" borderId="72" xfId="95" applyNumberFormat="1" applyFont="1" applyFill="1" applyBorder="1" applyAlignment="1" applyProtection="1">
      <alignment horizontal="right" vertical="center"/>
    </xf>
    <xf numFmtId="3" fontId="58" fillId="29" borderId="72" xfId="92" applyNumberFormat="1" applyFont="1" applyFill="1" applyBorder="1" applyAlignment="1" applyProtection="1">
      <alignment horizontal="right" vertical="center" wrapText="1"/>
    </xf>
    <xf numFmtId="3" fontId="58" fillId="29" borderId="72" xfId="92" applyNumberFormat="1" applyFont="1" applyFill="1" applyBorder="1" applyAlignment="1" applyProtection="1">
      <alignment vertical="center" wrapText="1"/>
    </xf>
    <xf numFmtId="3" fontId="61" fillId="29" borderId="33" xfId="91" applyNumberFormat="1" applyFont="1" applyFill="1" applyBorder="1" applyAlignment="1" applyProtection="1">
      <alignment horizontal="right" vertical="center" wrapText="1"/>
    </xf>
    <xf numFmtId="3" fontId="75" fillId="13" borderId="38" xfId="95" applyNumberFormat="1" applyFont="1" applyFill="1" applyBorder="1" applyAlignment="1" applyProtection="1">
      <alignment horizontal="left" vertical="top"/>
    </xf>
    <xf numFmtId="3" fontId="61" fillId="13" borderId="38" xfId="91" applyNumberFormat="1" applyFont="1" applyFill="1" applyBorder="1" applyAlignment="1" applyProtection="1">
      <alignment vertical="center" wrapText="1"/>
    </xf>
    <xf numFmtId="3" fontId="58" fillId="28" borderId="25" xfId="95" applyNumberFormat="1" applyFont="1" applyFill="1" applyBorder="1" applyAlignment="1" applyProtection="1">
      <alignment vertical="center"/>
    </xf>
    <xf numFmtId="3" fontId="56" fillId="27" borderId="35" xfId="95" applyNumberFormat="1" applyFont="1" applyFill="1" applyBorder="1" applyAlignment="1" applyProtection="1">
      <alignment vertical="center"/>
    </xf>
    <xf numFmtId="167" fontId="58" fillId="28" borderId="54" xfId="2" applyNumberFormat="1" applyFont="1" applyFill="1" applyBorder="1" applyAlignment="1">
      <alignment horizontal="right" vertical="center"/>
    </xf>
    <xf numFmtId="167" fontId="58" fillId="29" borderId="54" xfId="2" applyNumberFormat="1" applyFont="1" applyFill="1" applyBorder="1" applyAlignment="1">
      <alignment horizontal="right" vertical="center"/>
    </xf>
    <xf numFmtId="167" fontId="58" fillId="29" borderId="54" xfId="2" applyNumberFormat="1" applyFont="1" applyFill="1" applyBorder="1" applyAlignment="1">
      <alignment vertical="center"/>
    </xf>
    <xf numFmtId="10" fontId="68" fillId="27" borderId="71" xfId="2" applyNumberFormat="1" applyFont="1" applyFill="1" applyBorder="1" applyAlignment="1">
      <alignment vertical="center"/>
    </xf>
    <xf numFmtId="3" fontId="85" fillId="13" borderId="57" xfId="94" applyNumberFormat="1" applyFont="1" applyFill="1" applyBorder="1" applyAlignment="1" applyProtection="1"/>
    <xf numFmtId="3" fontId="85" fillId="13" borderId="57" xfId="94" applyNumberFormat="1" applyFont="1" applyFill="1" applyBorder="1" applyAlignment="1" applyProtection="1">
      <alignment horizontal="right"/>
    </xf>
    <xf numFmtId="3" fontId="85" fillId="13" borderId="57" xfId="2" applyNumberFormat="1" applyFont="1" applyFill="1" applyBorder="1" applyAlignment="1"/>
    <xf numFmtId="3" fontId="60" fillId="0" borderId="0" xfId="2" applyNumberFormat="1" applyFont="1" applyAlignment="1"/>
    <xf numFmtId="3" fontId="85" fillId="13" borderId="84" xfId="92" applyNumberFormat="1" applyFont="1" applyFill="1" applyBorder="1" applyAlignment="1" applyProtection="1">
      <alignment vertical="top"/>
    </xf>
    <xf numFmtId="3" fontId="85" fillId="13" borderId="84" xfId="2" applyNumberFormat="1" applyFont="1" applyFill="1" applyBorder="1" applyAlignment="1" applyProtection="1">
      <alignment horizontal="right" vertical="top"/>
    </xf>
    <xf numFmtId="3" fontId="56" fillId="13" borderId="91" xfId="92" applyNumberFormat="1" applyFont="1" applyFill="1" applyBorder="1" applyAlignment="1" applyProtection="1">
      <alignment vertical="top"/>
    </xf>
    <xf numFmtId="0" fontId="2" fillId="0" borderId="0" xfId="2" applyAlignment="1">
      <alignment horizontal="center" vertical="top"/>
    </xf>
    <xf numFmtId="3" fontId="35" fillId="28" borderId="33" xfId="92" applyNumberFormat="1" applyFont="1" applyFill="1" applyBorder="1" applyAlignment="1" applyProtection="1">
      <alignment horizontal="right" vertical="center"/>
    </xf>
    <xf numFmtId="1" fontId="35" fillId="13" borderId="43" xfId="2" applyNumberFormat="1" applyFont="1" applyFill="1" applyBorder="1" applyAlignment="1">
      <alignment horizontal="right" vertical="center"/>
    </xf>
    <xf numFmtId="3" fontId="35" fillId="29" borderId="47" xfId="92" applyNumberFormat="1" applyFont="1" applyFill="1" applyBorder="1" applyAlignment="1" applyProtection="1">
      <alignment horizontal="right" vertical="center"/>
    </xf>
    <xf numFmtId="3" fontId="97" fillId="29" borderId="47" xfId="92" applyNumberFormat="1" applyFont="1" applyFill="1" applyBorder="1" applyAlignment="1" applyProtection="1">
      <alignment vertical="center"/>
    </xf>
    <xf numFmtId="3" fontId="35" fillId="28" borderId="33" xfId="92" applyNumberFormat="1" applyFont="1" applyFill="1" applyBorder="1" applyAlignment="1" applyProtection="1">
      <alignment vertical="center"/>
    </xf>
    <xf numFmtId="3" fontId="98" fillId="27" borderId="92" xfId="92" applyNumberFormat="1" applyFont="1" applyFill="1" applyBorder="1" applyAlignment="1" applyProtection="1">
      <alignment vertical="center" wrapText="1"/>
    </xf>
    <xf numFmtId="0" fontId="2" fillId="0" borderId="0" xfId="2"/>
    <xf numFmtId="0" fontId="2" fillId="0" borderId="0" xfId="2" applyAlignment="1">
      <alignment horizontal="right"/>
    </xf>
    <xf numFmtId="0" fontId="2" fillId="0" borderId="0" xfId="2" applyAlignment="1"/>
    <xf numFmtId="0" fontId="60" fillId="0" borderId="0" xfId="2" applyFont="1" applyFill="1" applyAlignment="1"/>
    <xf numFmtId="0" fontId="42" fillId="2" borderId="1" xfId="0" applyFont="1" applyFill="1" applyBorder="1" applyAlignment="1">
      <alignment vertical="center" wrapText="1"/>
    </xf>
    <xf numFmtId="0" fontId="41" fillId="2" borderId="0" xfId="2" applyNumberFormat="1" applyFont="1" applyFill="1" applyAlignment="1" applyProtection="1">
      <alignment vertical="top"/>
      <protection locked="0"/>
    </xf>
    <xf numFmtId="0" fontId="50" fillId="0" borderId="0" xfId="2" applyNumberFormat="1" applyFont="1" applyFill="1" applyBorder="1" applyAlignment="1" applyProtection="1">
      <alignment vertical="top" wrapText="1"/>
      <protection locked="0"/>
    </xf>
    <xf numFmtId="10" fontId="38" fillId="0" borderId="0" xfId="2" applyNumberFormat="1" applyFont="1" applyFill="1" applyBorder="1" applyAlignment="1" applyProtection="1">
      <alignment horizontal="center" vertical="top" wrapText="1"/>
      <protection locked="0"/>
    </xf>
    <xf numFmtId="0" fontId="41" fillId="2" borderId="0" xfId="2" applyNumberFormat="1" applyFont="1" applyFill="1" applyAlignment="1" applyProtection="1">
      <alignment vertical="top"/>
      <protection locked="0"/>
    </xf>
    <xf numFmtId="165" fontId="43" fillId="2" borderId="1" xfId="2" applyNumberFormat="1" applyFont="1" applyFill="1" applyBorder="1" applyAlignment="1" applyProtection="1">
      <alignment horizontal="center" vertical="center" wrapText="1"/>
      <protection locked="0"/>
    </xf>
    <xf numFmtId="165" fontId="38" fillId="2" borderId="1" xfId="2" applyNumberFormat="1" applyFont="1" applyFill="1" applyBorder="1" applyAlignment="1" applyProtection="1">
      <alignment horizontal="center" vertical="center"/>
      <protection locked="0"/>
    </xf>
    <xf numFmtId="0" fontId="38" fillId="0" borderId="0" xfId="0" applyFont="1" applyAlignment="1">
      <alignment horizontal="left" vertical="center"/>
    </xf>
    <xf numFmtId="0" fontId="42" fillId="2" borderId="2" xfId="0" applyFont="1" applyFill="1" applyBorder="1" applyAlignment="1">
      <alignment vertical="center" wrapText="1"/>
    </xf>
    <xf numFmtId="0" fontId="43" fillId="11" borderId="17" xfId="0" applyFont="1" applyFill="1" applyBorder="1" applyAlignment="1">
      <alignment vertical="center" wrapText="1"/>
    </xf>
    <xf numFmtId="0" fontId="9" fillId="0" borderId="0" xfId="0" applyFont="1" applyAlignment="1">
      <alignment horizontal="left" vertical="center"/>
    </xf>
    <xf numFmtId="49" fontId="101" fillId="0" borderId="2" xfId="2" applyNumberFormat="1" applyFont="1" applyFill="1" applyBorder="1" applyAlignment="1" applyProtection="1">
      <alignment horizontal="left" vertical="center" wrapText="1"/>
      <protection locked="0"/>
    </xf>
    <xf numFmtId="177" fontId="42" fillId="2" borderId="1" xfId="87" applyNumberFormat="1" applyFont="1" applyFill="1" applyBorder="1" applyAlignment="1">
      <alignment vertical="center"/>
    </xf>
    <xf numFmtId="0" fontId="95" fillId="14" borderId="25" xfId="2" applyFont="1" applyFill="1" applyBorder="1" applyAlignment="1" applyProtection="1">
      <alignment horizontal="center" vertical="center" wrapText="1"/>
    </xf>
    <xf numFmtId="0" fontId="96" fillId="32" borderId="26" xfId="2" applyFont="1" applyFill="1" applyBorder="1" applyAlignment="1" applyProtection="1">
      <alignment horizontal="center" vertical="center" wrapText="1"/>
    </xf>
    <xf numFmtId="0" fontId="96" fillId="32" borderId="25" xfId="2" applyFont="1" applyFill="1" applyBorder="1" applyAlignment="1" applyProtection="1">
      <alignment horizontal="center" vertical="center" wrapText="1"/>
    </xf>
    <xf numFmtId="3" fontId="58" fillId="32" borderId="25" xfId="95" applyNumberFormat="1" applyFont="1" applyFill="1" applyBorder="1" applyAlignment="1" applyProtection="1">
      <alignment vertical="center"/>
    </xf>
    <xf numFmtId="3" fontId="61" fillId="32" borderId="33" xfId="95" applyNumberFormat="1" applyFont="1" applyFill="1" applyBorder="1" applyAlignment="1" applyProtection="1">
      <alignment vertical="center"/>
    </xf>
    <xf numFmtId="3" fontId="58" fillId="32" borderId="40" xfId="95" applyNumberFormat="1" applyFont="1" applyFill="1" applyBorder="1" applyAlignment="1" applyProtection="1">
      <alignment vertical="center"/>
    </xf>
    <xf numFmtId="3" fontId="58" fillId="25" borderId="25" xfId="92" applyNumberFormat="1" applyFont="1" applyFill="1" applyBorder="1" applyAlignment="1" applyProtection="1">
      <alignment horizontal="right" vertical="center" wrapText="1"/>
    </xf>
    <xf numFmtId="3" fontId="58" fillId="32" borderId="44" xfId="95" applyNumberFormat="1" applyFont="1" applyFill="1" applyBorder="1" applyAlignment="1" applyProtection="1">
      <alignment vertical="center"/>
    </xf>
    <xf numFmtId="3" fontId="61" fillId="32" borderId="43" xfId="95" applyNumberFormat="1" applyFont="1" applyFill="1" applyBorder="1" applyAlignment="1" applyProtection="1">
      <alignment vertical="center"/>
    </xf>
    <xf numFmtId="3" fontId="62" fillId="13" borderId="83" xfId="95" applyNumberFormat="1" applyFont="1" applyFill="1" applyBorder="1" applyAlignment="1" applyProtection="1">
      <alignment horizontal="right"/>
    </xf>
    <xf numFmtId="3" fontId="35" fillId="13" borderId="79" xfId="95" applyNumberFormat="1" applyFont="1" applyFill="1" applyBorder="1" applyAlignment="1" applyProtection="1">
      <alignment horizontal="right" vertical="center"/>
    </xf>
    <xf numFmtId="3" fontId="65" fillId="13" borderId="76" xfId="95" applyNumberFormat="1" applyFont="1" applyFill="1" applyBorder="1" applyAlignment="1" applyProtection="1">
      <alignment horizontal="right" vertical="center"/>
    </xf>
    <xf numFmtId="3" fontId="65" fillId="13" borderId="52" xfId="2" applyNumberFormat="1" applyFont="1" applyFill="1" applyBorder="1" applyAlignment="1" applyProtection="1">
      <alignment horizontal="right" vertical="center" wrapText="1"/>
    </xf>
    <xf numFmtId="3" fontId="65" fillId="13" borderId="52" xfId="92" applyNumberFormat="1" applyFont="1" applyFill="1" applyBorder="1" applyAlignment="1" applyProtection="1">
      <alignment horizontal="right" vertical="center"/>
    </xf>
    <xf numFmtId="3" fontId="65" fillId="13" borderId="52" xfId="92" applyNumberFormat="1" applyFont="1" applyFill="1" applyBorder="1" applyAlignment="1" applyProtection="1">
      <alignment horizontal="right" vertical="center" wrapText="1"/>
    </xf>
    <xf numFmtId="0" fontId="60" fillId="13" borderId="38" xfId="2" applyFont="1" applyFill="1" applyBorder="1" applyAlignment="1">
      <alignment vertical="center"/>
    </xf>
    <xf numFmtId="0" fontId="61" fillId="13" borderId="38" xfId="2" applyFont="1" applyFill="1" applyBorder="1" applyAlignment="1" applyProtection="1">
      <alignment horizontal="left" vertical="center" wrapText="1"/>
    </xf>
    <xf numFmtId="3" fontId="61" fillId="13" borderId="38" xfId="2" applyNumberFormat="1" applyFont="1" applyFill="1" applyBorder="1" applyAlignment="1" applyProtection="1">
      <alignment horizontal="right" vertical="center" wrapText="1"/>
    </xf>
    <xf numFmtId="3" fontId="75" fillId="13" borderId="38" xfId="95" applyNumberFormat="1" applyFont="1" applyFill="1" applyBorder="1" applyAlignment="1" applyProtection="1">
      <alignment horizontal="right" vertical="top"/>
    </xf>
    <xf numFmtId="3" fontId="90" fillId="13" borderId="38" xfId="95" applyNumberFormat="1" applyFont="1" applyFill="1" applyBorder="1" applyAlignment="1" applyProtection="1">
      <alignment horizontal="left" vertical="top"/>
    </xf>
    <xf numFmtId="3" fontId="14" fillId="13" borderId="38" xfId="95" applyNumberFormat="1" applyFont="1" applyFill="1" applyBorder="1" applyAlignment="1" applyProtection="1">
      <alignment horizontal="right" vertical="top"/>
    </xf>
    <xf numFmtId="3" fontId="56" fillId="13" borderId="38" xfId="92" applyNumberFormat="1" applyFont="1" applyFill="1" applyBorder="1" applyAlignment="1" applyProtection="1">
      <alignment horizontal="right" vertical="center"/>
    </xf>
    <xf numFmtId="167" fontId="58" fillId="0" borderId="54" xfId="94" applyNumberFormat="1" applyFont="1" applyFill="1" applyBorder="1" applyAlignment="1" applyProtection="1">
      <alignment vertical="center"/>
    </xf>
    <xf numFmtId="167" fontId="58" fillId="0" borderId="55" xfId="94" applyNumberFormat="1" applyFont="1" applyFill="1" applyBorder="1" applyAlignment="1" applyProtection="1">
      <alignment vertical="center"/>
    </xf>
    <xf numFmtId="3" fontId="61" fillId="13" borderId="57" xfId="2" applyNumberFormat="1" applyFont="1" applyFill="1" applyBorder="1" applyAlignment="1"/>
    <xf numFmtId="3" fontId="60" fillId="13" borderId="57" xfId="2" applyNumberFormat="1" applyFont="1" applyFill="1" applyBorder="1" applyAlignment="1"/>
    <xf numFmtId="3" fontId="61" fillId="13" borderId="57" xfId="2" applyNumberFormat="1" applyFont="1" applyFill="1" applyBorder="1" applyAlignment="1">
      <alignment horizontal="right"/>
    </xf>
    <xf numFmtId="2" fontId="58" fillId="19" borderId="69" xfId="92" applyNumberFormat="1" applyFont="1" applyFill="1" applyBorder="1" applyAlignment="1" applyProtection="1">
      <alignment horizontal="center" vertical="top" wrapText="1"/>
    </xf>
    <xf numFmtId="3" fontId="61" fillId="24" borderId="69" xfId="92" applyNumberFormat="1" applyFont="1" applyFill="1" applyBorder="1" applyAlignment="1" applyProtection="1">
      <alignment horizontal="center" vertical="top"/>
    </xf>
    <xf numFmtId="1" fontId="61" fillId="0" borderId="33" xfId="94" applyNumberFormat="1" applyFont="1" applyFill="1" applyBorder="1" applyAlignment="1" applyProtection="1">
      <alignment vertical="center"/>
    </xf>
    <xf numFmtId="1" fontId="61" fillId="0" borderId="33" xfId="2" applyNumberFormat="1" applyFont="1" applyFill="1" applyBorder="1" applyAlignment="1">
      <alignment vertical="center"/>
    </xf>
    <xf numFmtId="1" fontId="35" fillId="0" borderId="43" xfId="94" applyNumberFormat="1" applyFont="1" applyFill="1" applyBorder="1" applyAlignment="1" applyProtection="1">
      <alignment vertical="center"/>
    </xf>
    <xf numFmtId="1" fontId="35" fillId="0" borderId="43" xfId="2" applyNumberFormat="1" applyFont="1" applyFill="1" applyBorder="1" applyAlignment="1">
      <alignment vertical="center"/>
    </xf>
    <xf numFmtId="3" fontId="63" fillId="22" borderId="47" xfId="92" applyNumberFormat="1" applyFont="1" applyFill="1" applyBorder="1" applyAlignment="1" applyProtection="1">
      <alignment horizontal="right" vertical="center"/>
    </xf>
    <xf numFmtId="0" fontId="58" fillId="0" borderId="65" xfId="2" applyFont="1" applyFill="1" applyBorder="1" applyAlignment="1" applyProtection="1">
      <alignment vertical="center" textRotation="90" wrapText="1"/>
    </xf>
    <xf numFmtId="10" fontId="61" fillId="35" borderId="93" xfId="94" applyNumberFormat="1" applyFont="1" applyFill="1" applyBorder="1" applyAlignment="1" applyProtection="1">
      <alignment horizontal="right" vertical="center"/>
    </xf>
    <xf numFmtId="10" fontId="58" fillId="33" borderId="64" xfId="94" applyNumberFormat="1" applyFont="1" applyFill="1" applyBorder="1" applyAlignment="1" applyProtection="1">
      <alignment horizontal="right" vertical="center"/>
    </xf>
    <xf numFmtId="0" fontId="70" fillId="0" borderId="0" xfId="2" applyFont="1" applyFill="1" applyBorder="1" applyAlignment="1"/>
    <xf numFmtId="3" fontId="70" fillId="0" borderId="0" xfId="2" applyNumberFormat="1" applyFont="1" applyFill="1" applyBorder="1" applyAlignment="1"/>
    <xf numFmtId="1" fontId="70" fillId="0" borderId="0" xfId="2" applyNumberFormat="1" applyFont="1" applyFill="1" applyBorder="1" applyAlignment="1"/>
    <xf numFmtId="0" fontId="71" fillId="13" borderId="0" xfId="2" applyFont="1" applyFill="1" applyBorder="1" applyAlignment="1"/>
    <xf numFmtId="0" fontId="70" fillId="0" borderId="0" xfId="2" applyFont="1" applyFill="1" applyBorder="1" applyAlignment="1">
      <alignment vertical="center"/>
    </xf>
    <xf numFmtId="166" fontId="70" fillId="0" borderId="0" xfId="2" applyNumberFormat="1" applyFont="1" applyFill="1" applyBorder="1" applyAlignment="1"/>
    <xf numFmtId="167" fontId="2" fillId="0" borderId="0" xfId="94" applyNumberFormat="1" applyFill="1" applyBorder="1" applyProtection="1"/>
    <xf numFmtId="0" fontId="70" fillId="0" borderId="0" xfId="2" applyFont="1" applyFill="1" applyBorder="1" applyAlignment="1">
      <alignment vertical="center" wrapText="1"/>
    </xf>
    <xf numFmtId="165" fontId="70" fillId="0" borderId="0" xfId="2" applyNumberFormat="1" applyFont="1" applyFill="1" applyBorder="1" applyAlignment="1"/>
    <xf numFmtId="0" fontId="104" fillId="27" borderId="28" xfId="2" applyFont="1" applyFill="1" applyBorder="1" applyAlignment="1" applyProtection="1">
      <alignment horizontal="center" vertical="center" wrapText="1"/>
    </xf>
    <xf numFmtId="0" fontId="58" fillId="30" borderId="38" xfId="2" applyFont="1" applyFill="1" applyBorder="1" applyAlignment="1" applyProtection="1">
      <alignment vertical="center" textRotation="90" wrapText="1"/>
    </xf>
    <xf numFmtId="2" fontId="61" fillId="30" borderId="38" xfId="92" applyNumberFormat="1" applyFont="1" applyFill="1" applyBorder="1" applyAlignment="1" applyProtection="1">
      <alignment vertical="center"/>
    </xf>
    <xf numFmtId="3" fontId="61" fillId="28" borderId="40" xfId="95" applyNumberFormat="1" applyFont="1" applyFill="1" applyBorder="1" applyAlignment="1" applyProtection="1">
      <alignment vertical="center"/>
    </xf>
    <xf numFmtId="3" fontId="61" fillId="28" borderId="54" xfId="95" applyNumberFormat="1" applyFont="1" applyFill="1" applyBorder="1" applyAlignment="1" applyProtection="1">
      <alignment vertical="center"/>
    </xf>
    <xf numFmtId="174" fontId="61" fillId="0" borderId="47" xfId="91" applyNumberFormat="1" applyFont="1" applyFill="1" applyBorder="1" applyAlignment="1" applyProtection="1">
      <alignment vertical="center" wrapText="1"/>
    </xf>
    <xf numFmtId="3" fontId="61" fillId="29" borderId="94" xfId="91" applyNumberFormat="1" applyFont="1" applyFill="1" applyBorder="1" applyAlignment="1" applyProtection="1">
      <alignment horizontal="right" vertical="center" wrapText="1"/>
    </xf>
    <xf numFmtId="3" fontId="105" fillId="27" borderId="28" xfId="92" applyNumberFormat="1" applyFont="1" applyFill="1" applyBorder="1" applyAlignment="1" applyProtection="1">
      <alignment vertical="center" wrapText="1"/>
    </xf>
    <xf numFmtId="167" fontId="106" fillId="28" borderId="54" xfId="2" applyNumberFormat="1" applyFont="1" applyFill="1" applyBorder="1" applyAlignment="1">
      <alignment vertical="center"/>
    </xf>
    <xf numFmtId="0" fontId="58" fillId="2" borderId="84" xfId="2" applyFont="1" applyFill="1" applyBorder="1" applyAlignment="1" applyProtection="1">
      <alignment vertical="center" textRotation="90" wrapText="1"/>
    </xf>
    <xf numFmtId="0" fontId="61" fillId="2" borderId="84" xfId="2" applyFont="1" applyFill="1" applyBorder="1" applyAlignment="1">
      <alignment vertical="center" wrapText="1"/>
    </xf>
    <xf numFmtId="3" fontId="2" fillId="0" borderId="0" xfId="2" applyNumberFormat="1" applyAlignment="1">
      <alignment horizontal="right"/>
    </xf>
    <xf numFmtId="0" fontId="16" fillId="0" borderId="3" xfId="2" applyNumberFormat="1" applyFont="1" applyFill="1" applyBorder="1" applyAlignment="1" applyProtection="1">
      <alignment horizontal="center" vertical="center"/>
      <protection locked="0"/>
    </xf>
    <xf numFmtId="0" fontId="16" fillId="2" borderId="1" xfId="0" applyNumberFormat="1" applyFont="1" applyFill="1" applyBorder="1" applyAlignment="1">
      <alignment horizontal="center" vertical="center" wrapText="1"/>
    </xf>
    <xf numFmtId="0" fontId="16" fillId="9" borderId="0" xfId="2" applyNumberFormat="1" applyFont="1" applyFill="1" applyBorder="1" applyAlignment="1" applyProtection="1">
      <alignment vertical="center"/>
      <protection locked="0"/>
    </xf>
    <xf numFmtId="0" fontId="16" fillId="2" borderId="0" xfId="2" applyNumberFormat="1" applyFont="1" applyFill="1" applyBorder="1" applyAlignment="1" applyProtection="1">
      <alignment vertical="center"/>
      <protection locked="0"/>
    </xf>
    <xf numFmtId="0" fontId="16" fillId="2" borderId="0" xfId="2" applyNumberFormat="1" applyFont="1" applyFill="1" applyAlignment="1" applyProtection="1">
      <alignment vertical="center"/>
      <protection locked="0"/>
    </xf>
    <xf numFmtId="0" fontId="16" fillId="9" borderId="0" xfId="2" applyNumberFormat="1" applyFont="1" applyFill="1" applyAlignment="1" applyProtection="1">
      <alignment vertical="center"/>
      <protection locked="0"/>
    </xf>
    <xf numFmtId="1" fontId="23" fillId="2" borderId="1" xfId="0" applyNumberFormat="1" applyFont="1" applyFill="1" applyBorder="1" applyAlignment="1">
      <alignment horizontal="center" vertical="center"/>
    </xf>
    <xf numFmtId="0" fontId="11" fillId="6" borderId="4" xfId="2" applyNumberFormat="1" applyFont="1" applyFill="1" applyBorder="1" applyAlignment="1" applyProtection="1">
      <alignment vertical="top" wrapText="1"/>
      <protection locked="0"/>
    </xf>
    <xf numFmtId="1" fontId="29" fillId="2" borderId="1" xfId="0" applyNumberFormat="1" applyFont="1" applyFill="1" applyBorder="1" applyAlignment="1">
      <alignment horizontal="center" vertical="center"/>
    </xf>
    <xf numFmtId="1" fontId="29" fillId="2" borderId="1" xfId="2" applyNumberFormat="1" applyFont="1" applyFill="1" applyBorder="1" applyAlignment="1" applyProtection="1">
      <alignment vertical="top"/>
      <protection locked="0"/>
    </xf>
    <xf numFmtId="0" fontId="29" fillId="2" borderId="1" xfId="2" applyNumberFormat="1" applyFont="1" applyFill="1" applyBorder="1" applyAlignment="1" applyProtection="1">
      <alignment vertical="top"/>
      <protection locked="0"/>
    </xf>
    <xf numFmtId="165" fontId="29" fillId="2" borderId="1" xfId="2" applyNumberFormat="1" applyFont="1" applyFill="1" applyBorder="1" applyAlignment="1" applyProtection="1">
      <alignment horizontal="center" vertical="top" wrapText="1"/>
      <protection locked="0"/>
    </xf>
    <xf numFmtId="0" fontId="29" fillId="2" borderId="1" xfId="2" applyNumberFormat="1" applyFont="1" applyFill="1" applyBorder="1" applyAlignment="1" applyProtection="1">
      <alignment vertical="top" wrapText="1"/>
      <protection locked="0"/>
    </xf>
    <xf numFmtId="0" fontId="108" fillId="6" borderId="4" xfId="2" applyNumberFormat="1" applyFont="1" applyFill="1" applyBorder="1" applyAlignment="1" applyProtection="1">
      <alignment vertical="top" wrapText="1"/>
      <protection locked="0"/>
    </xf>
    <xf numFmtId="1" fontId="38" fillId="2" borderId="1" xfId="2" applyNumberFormat="1" applyFont="1" applyFill="1" applyBorder="1" applyAlignment="1" applyProtection="1">
      <alignment horizontal="center" vertical="top" wrapText="1"/>
      <protection locked="0"/>
    </xf>
    <xf numFmtId="0" fontId="109" fillId="0" borderId="0" xfId="0" applyFont="1" applyBorder="1" applyAlignment="1">
      <alignment horizontal="left" vertical="top" wrapText="1"/>
    </xf>
    <xf numFmtId="168" fontId="45" fillId="2" borderId="6" xfId="0" applyNumberFormat="1" applyFont="1" applyFill="1" applyBorder="1" applyAlignment="1">
      <alignment horizontal="right" vertical="center" wrapText="1"/>
    </xf>
    <xf numFmtId="0" fontId="0" fillId="2" borderId="6" xfId="0" applyFill="1" applyBorder="1"/>
    <xf numFmtId="168" fontId="42" fillId="2" borderId="95" xfId="0" applyNumberFormat="1" applyFont="1" applyFill="1" applyBorder="1" applyAlignment="1">
      <alignment horizontal="right"/>
    </xf>
    <xf numFmtId="0" fontId="0" fillId="0" borderId="20" xfId="0" applyBorder="1"/>
    <xf numFmtId="0" fontId="110" fillId="2" borderId="15" xfId="0" applyFont="1" applyFill="1" applyBorder="1" applyAlignment="1">
      <alignment horizontal="left" vertical="center" wrapText="1"/>
    </xf>
    <xf numFmtId="10" fontId="110" fillId="2" borderId="16" xfId="1" applyNumberFormat="1" applyFont="1" applyFill="1" applyBorder="1" applyAlignment="1">
      <alignment horizontal="right" vertical="center" wrapText="1"/>
    </xf>
    <xf numFmtId="10" fontId="110" fillId="2" borderId="16" xfId="1" applyNumberFormat="1" applyFont="1" applyFill="1" applyBorder="1" applyAlignment="1">
      <alignment horizontal="left" vertical="center" wrapText="1"/>
    </xf>
    <xf numFmtId="0" fontId="23" fillId="2" borderId="16" xfId="0" applyFont="1" applyFill="1" applyBorder="1" applyAlignment="1"/>
    <xf numFmtId="0" fontId="45" fillId="2" borderId="13" xfId="0" applyFont="1" applyFill="1" applyBorder="1" applyAlignment="1">
      <alignment horizontal="left" vertical="center" wrapText="1"/>
    </xf>
    <xf numFmtId="49" fontId="43" fillId="37" borderId="1" xfId="2" applyNumberFormat="1" applyFont="1" applyFill="1" applyBorder="1" applyAlignment="1" applyProtection="1">
      <alignment horizontal="left" vertical="top" wrapText="1"/>
      <protection locked="0"/>
    </xf>
    <xf numFmtId="0" fontId="43" fillId="37" borderId="1" xfId="2" applyNumberFormat="1" applyFont="1" applyFill="1" applyBorder="1" applyAlignment="1" applyProtection="1">
      <alignment vertical="center" wrapText="1"/>
      <protection locked="0"/>
    </xf>
    <xf numFmtId="0" fontId="38" fillId="0" borderId="0" xfId="0" applyFont="1" applyAlignment="1">
      <alignment horizontal="left" vertical="center"/>
    </xf>
    <xf numFmtId="0" fontId="42" fillId="0" borderId="0" xfId="0" applyFont="1" applyAlignment="1">
      <alignment horizontal="left" vertical="center"/>
    </xf>
    <xf numFmtId="0" fontId="126" fillId="9" borderId="0" xfId="2" applyNumberFormat="1" applyFont="1" applyFill="1" applyAlignment="1" applyProtection="1">
      <alignment vertical="top" wrapText="1"/>
      <protection locked="0"/>
    </xf>
    <xf numFmtId="0" fontId="126" fillId="0" borderId="0" xfId="2" applyNumberFormat="1" applyFont="1" applyFill="1" applyAlignment="1" applyProtection="1">
      <alignment vertical="top" wrapText="1"/>
      <protection locked="0"/>
    </xf>
    <xf numFmtId="3" fontId="99" fillId="2" borderId="106" xfId="2" applyNumberFormat="1" applyFont="1" applyFill="1" applyBorder="1" applyAlignment="1" applyProtection="1">
      <alignment horizontal="center" vertical="center" wrapText="1"/>
      <protection locked="0"/>
    </xf>
    <xf numFmtId="0" fontId="22" fillId="0" borderId="0" xfId="2" applyNumberFormat="1" applyFont="1" applyFill="1" applyAlignment="1" applyProtection="1">
      <alignment vertical="top" wrapText="1"/>
      <protection locked="0"/>
    </xf>
    <xf numFmtId="0" fontId="10" fillId="9" borderId="0" xfId="2" applyNumberFormat="1" applyFont="1" applyFill="1" applyAlignment="1" applyProtection="1">
      <alignment vertical="top" wrapText="1"/>
      <protection locked="0"/>
    </xf>
    <xf numFmtId="0" fontId="99" fillId="2" borderId="106" xfId="2" applyNumberFormat="1" applyFont="1" applyFill="1" applyBorder="1" applyAlignment="1" applyProtection="1">
      <alignment horizontal="left" vertical="center" wrapText="1"/>
      <protection locked="0"/>
    </xf>
    <xf numFmtId="3" fontId="125" fillId="2" borderId="106" xfId="2" applyNumberFormat="1" applyFont="1" applyFill="1" applyBorder="1" applyAlignment="1" applyProtection="1">
      <alignment horizontal="center" vertical="center" wrapText="1"/>
      <protection locked="0"/>
    </xf>
    <xf numFmtId="1" fontId="99" fillId="2" borderId="106" xfId="2" applyNumberFormat="1" applyFont="1" applyFill="1" applyBorder="1" applyAlignment="1" applyProtection="1">
      <alignment horizontal="center" vertical="center" wrapText="1"/>
      <protection locked="0"/>
    </xf>
    <xf numFmtId="3" fontId="99" fillId="2" borderId="107" xfId="2" applyNumberFormat="1" applyFont="1" applyFill="1" applyBorder="1" applyAlignment="1" applyProtection="1">
      <alignment horizontal="center" vertical="center" wrapText="1"/>
      <protection locked="0"/>
    </xf>
    <xf numFmtId="0" fontId="0" fillId="0" borderId="0" xfId="0"/>
    <xf numFmtId="0" fontId="22" fillId="0" borderId="0" xfId="2" applyNumberFormat="1" applyFont="1" applyFill="1" applyAlignment="1">
      <alignment vertical="top" wrapText="1"/>
    </xf>
    <xf numFmtId="0" fontId="9" fillId="0" borderId="0" xfId="2" applyNumberFormat="1" applyFont="1" applyFill="1" applyAlignment="1" applyProtection="1">
      <alignment horizontal="left" vertical="center" wrapText="1"/>
      <protection locked="0"/>
    </xf>
    <xf numFmtId="0" fontId="13" fillId="0" borderId="0" xfId="2" applyNumberFormat="1" applyFont="1" applyFill="1" applyBorder="1" applyAlignment="1" applyProtection="1">
      <alignment horizontal="left" vertical="top" wrapText="1"/>
      <protection locked="0"/>
    </xf>
    <xf numFmtId="0" fontId="10" fillId="0" borderId="0" xfId="2" applyNumberFormat="1" applyFont="1" applyFill="1" applyAlignment="1" applyProtection="1">
      <alignment vertical="top" wrapText="1"/>
      <protection locked="0"/>
    </xf>
    <xf numFmtId="0" fontId="9" fillId="2" borderId="106" xfId="2" applyNumberFormat="1" applyFont="1" applyFill="1" applyBorder="1" applyAlignment="1" applyProtection="1">
      <alignment horizontal="left" vertical="center" wrapText="1"/>
      <protection locked="0"/>
    </xf>
    <xf numFmtId="0" fontId="12" fillId="2" borderId="106" xfId="2" applyNumberFormat="1" applyFont="1" applyFill="1" applyBorder="1" applyAlignment="1" applyProtection="1">
      <alignment horizontal="left" wrapText="1"/>
      <protection locked="0"/>
    </xf>
    <xf numFmtId="167" fontId="13" fillId="2" borderId="106" xfId="4" applyNumberFormat="1" applyFont="1" applyFill="1" applyBorder="1" applyAlignment="1" applyProtection="1">
      <alignment horizontal="center" vertical="center" wrapText="1"/>
      <protection locked="0"/>
    </xf>
    <xf numFmtId="166" fontId="12" fillId="2" borderId="107" xfId="4" applyNumberFormat="1" applyFont="1" applyFill="1" applyBorder="1" applyAlignment="1" applyProtection="1">
      <alignment horizontal="center" vertical="center" wrapText="1"/>
      <protection locked="0"/>
    </xf>
    <xf numFmtId="2" fontId="12" fillId="2" borderId="107" xfId="4" applyNumberFormat="1" applyFont="1" applyFill="1" applyBorder="1" applyAlignment="1" applyProtection="1">
      <alignment horizontal="center" vertical="center" wrapText="1"/>
      <protection locked="0"/>
    </xf>
    <xf numFmtId="2" fontId="9" fillId="2" borderId="106" xfId="2" applyNumberFormat="1" applyFont="1" applyFill="1" applyBorder="1" applyAlignment="1" applyProtection="1">
      <alignment horizontal="center" vertical="center" wrapText="1"/>
      <protection locked="0"/>
    </xf>
    <xf numFmtId="0" fontId="9" fillId="2" borderId="106" xfId="2" applyNumberFormat="1" applyFont="1" applyFill="1" applyBorder="1" applyAlignment="1" applyProtection="1">
      <alignment horizontal="left" wrapText="1"/>
      <protection locked="0"/>
    </xf>
    <xf numFmtId="2" fontId="12" fillId="2" borderId="106" xfId="0" applyNumberFormat="1" applyFont="1" applyFill="1" applyBorder="1" applyAlignment="1">
      <alignment horizontal="center" vertical="center" wrapText="1"/>
    </xf>
    <xf numFmtId="166" fontId="12" fillId="9" borderId="107" xfId="4" applyNumberFormat="1" applyFont="1" applyFill="1" applyBorder="1" applyAlignment="1" applyProtection="1">
      <alignment horizontal="center" vertical="center" wrapText="1"/>
      <protection locked="0"/>
    </xf>
    <xf numFmtId="2" fontId="9" fillId="9" borderId="106" xfId="2" applyNumberFormat="1" applyFont="1" applyFill="1" applyBorder="1" applyAlignment="1" applyProtection="1">
      <alignment horizontal="center" vertical="center" wrapText="1"/>
      <protection locked="0"/>
    </xf>
    <xf numFmtId="0" fontId="38" fillId="0" borderId="0" xfId="0" applyFont="1" applyAlignment="1">
      <alignment horizontal="left" vertical="center"/>
    </xf>
    <xf numFmtId="0" fontId="42" fillId="0" borderId="0" xfId="0" applyFont="1" applyAlignment="1">
      <alignment horizontal="left" vertical="center"/>
    </xf>
    <xf numFmtId="0" fontId="38" fillId="0" borderId="0" xfId="0" applyFont="1" applyAlignment="1">
      <alignment horizontal="left" vertical="center"/>
    </xf>
    <xf numFmtId="0" fontId="9" fillId="0" borderId="106" xfId="2" applyNumberFormat="1" applyFont="1" applyFill="1" applyBorder="1" applyAlignment="1" applyProtection="1">
      <alignment horizontal="center" vertical="center" wrapText="1"/>
      <protection locked="0"/>
    </xf>
    <xf numFmtId="49" fontId="11" fillId="7" borderId="109" xfId="2" applyNumberFormat="1" applyFont="1" applyFill="1" applyBorder="1" applyAlignment="1" applyProtection="1">
      <alignment horizontal="left" vertical="center" wrapText="1"/>
      <protection locked="0"/>
    </xf>
    <xf numFmtId="49" fontId="11" fillId="7" borderId="110" xfId="2" applyNumberFormat="1" applyFont="1" applyFill="1" applyBorder="1" applyAlignment="1" applyProtection="1">
      <alignment horizontal="left" vertical="center" wrapText="1"/>
      <protection locked="0"/>
    </xf>
    <xf numFmtId="49" fontId="11" fillId="7" borderId="107" xfId="2" applyNumberFormat="1" applyFont="1" applyFill="1" applyBorder="1" applyAlignment="1" applyProtection="1">
      <alignment horizontal="left" vertical="center" wrapText="1"/>
      <protection locked="0"/>
    </xf>
    <xf numFmtId="0" fontId="12" fillId="2" borderId="106" xfId="2" applyNumberFormat="1" applyFont="1" applyFill="1" applyBorder="1" applyAlignment="1" applyProtection="1">
      <alignment horizontal="left" vertical="center" wrapText="1"/>
      <protection locked="0"/>
    </xf>
    <xf numFmtId="1" fontId="12" fillId="2" borderId="107" xfId="4" applyNumberFormat="1" applyFont="1" applyFill="1" applyBorder="1" applyAlignment="1" applyProtection="1">
      <alignment horizontal="center" vertical="center" wrapText="1"/>
      <protection locked="0"/>
    </xf>
    <xf numFmtId="1" fontId="9" fillId="2" borderId="106" xfId="2" applyNumberFormat="1" applyFont="1" applyFill="1" applyBorder="1" applyAlignment="1" applyProtection="1">
      <alignment horizontal="center" vertical="center" wrapText="1"/>
      <protection locked="0"/>
    </xf>
    <xf numFmtId="3" fontId="13" fillId="2" borderId="106" xfId="2" applyNumberFormat="1" applyFont="1" applyFill="1" applyBorder="1" applyAlignment="1" applyProtection="1">
      <alignment horizontal="center" vertical="center" wrapText="1"/>
      <protection locked="0"/>
    </xf>
    <xf numFmtId="3" fontId="12" fillId="2" borderId="106" xfId="2" applyNumberFormat="1" applyFont="1" applyFill="1" applyBorder="1" applyAlignment="1" applyProtection="1">
      <alignment horizontal="center" vertical="center" wrapText="1"/>
      <protection locked="0"/>
    </xf>
    <xf numFmtId="3" fontId="9" fillId="2" borderId="106" xfId="2" applyNumberFormat="1" applyFont="1" applyFill="1" applyBorder="1" applyAlignment="1" applyProtection="1">
      <alignment horizontal="center" vertical="center" wrapText="1"/>
      <protection locked="0"/>
    </xf>
    <xf numFmtId="3" fontId="9" fillId="2" borderId="107" xfId="2" applyNumberFormat="1" applyFont="1" applyFill="1" applyBorder="1" applyAlignment="1" applyProtection="1">
      <alignment horizontal="center" vertical="center" wrapText="1"/>
      <protection locked="0"/>
    </xf>
    <xf numFmtId="2" fontId="9" fillId="2" borderId="107" xfId="4" applyNumberFormat="1" applyFont="1" applyFill="1" applyBorder="1" applyAlignment="1" applyProtection="1">
      <alignment horizontal="center" vertical="center" wrapText="1"/>
      <protection locked="0"/>
    </xf>
    <xf numFmtId="166" fontId="9" fillId="2" borderId="107" xfId="4" applyNumberFormat="1" applyFont="1" applyFill="1" applyBorder="1" applyAlignment="1" applyProtection="1">
      <alignment horizontal="center" vertical="center" wrapText="1"/>
      <protection locked="0"/>
    </xf>
    <xf numFmtId="0" fontId="99" fillId="2" borderId="106" xfId="2" applyNumberFormat="1" applyFont="1" applyFill="1" applyBorder="1" applyAlignment="1" applyProtection="1">
      <alignment horizontal="left" wrapText="1"/>
      <protection locked="0"/>
    </xf>
    <xf numFmtId="176" fontId="12" fillId="2" borderId="107" xfId="87" applyNumberFormat="1" applyFont="1" applyFill="1" applyBorder="1" applyAlignment="1" applyProtection="1">
      <alignment horizontal="center" vertical="center" wrapText="1"/>
      <protection locked="0"/>
    </xf>
    <xf numFmtId="176" fontId="12" fillId="2" borderId="106" xfId="87" applyNumberFormat="1" applyFont="1" applyFill="1" applyBorder="1" applyAlignment="1">
      <alignment horizontal="center" vertical="center" wrapText="1"/>
    </xf>
    <xf numFmtId="165" fontId="23" fillId="37" borderId="1" xfId="0" applyNumberFormat="1" applyFont="1" applyFill="1" applyBorder="1" applyAlignment="1">
      <alignment horizontal="center" vertical="center"/>
    </xf>
    <xf numFmtId="165" fontId="42" fillId="2" borderId="1" xfId="0" applyNumberFormat="1" applyFont="1" applyFill="1" applyBorder="1" applyAlignment="1">
      <alignment horizontal="center" vertical="center"/>
    </xf>
    <xf numFmtId="165" fontId="23" fillId="2" borderId="1" xfId="2" applyNumberFormat="1" applyFont="1" applyFill="1" applyBorder="1" applyAlignment="1" applyProtection="1">
      <alignment horizontal="center" vertical="center"/>
      <protection locked="0"/>
    </xf>
    <xf numFmtId="165" fontId="23" fillId="2" borderId="1" xfId="2" applyNumberFormat="1" applyFont="1" applyFill="1" applyBorder="1" applyAlignment="1" applyProtection="1">
      <alignment horizontal="center" vertical="center" wrapText="1"/>
      <protection locked="0"/>
    </xf>
    <xf numFmtId="165" fontId="42" fillId="2" borderId="1" xfId="2" applyNumberFormat="1" applyFont="1" applyFill="1" applyBorder="1" applyAlignment="1" applyProtection="1">
      <alignment horizontal="center" vertical="center"/>
      <protection locked="0"/>
    </xf>
    <xf numFmtId="165" fontId="29" fillId="2" borderId="1" xfId="0" applyNumberFormat="1" applyFont="1" applyFill="1" applyBorder="1" applyAlignment="1">
      <alignment horizontal="center" vertical="center"/>
    </xf>
    <xf numFmtId="165" fontId="29" fillId="2" borderId="6" xfId="87" applyNumberFormat="1" applyFont="1" applyFill="1" applyBorder="1" applyAlignment="1" applyProtection="1">
      <alignment horizontal="center" vertical="center" wrapText="1"/>
      <protection locked="0"/>
    </xf>
    <xf numFmtId="165" fontId="43" fillId="11" borderId="1" xfId="2" applyNumberFormat="1" applyFont="1" applyFill="1" applyBorder="1" applyAlignment="1" applyProtection="1">
      <alignment horizontal="center" vertical="center" wrapText="1"/>
      <protection locked="0"/>
    </xf>
    <xf numFmtId="165" fontId="46" fillId="37" borderId="1" xfId="87" applyNumberFormat="1" applyFont="1" applyFill="1" applyBorder="1" applyAlignment="1">
      <alignment horizontal="center" vertical="center" wrapText="1"/>
    </xf>
    <xf numFmtId="3" fontId="58" fillId="32" borderId="111" xfId="95" applyNumberFormat="1" applyFont="1" applyFill="1" applyBorder="1" applyAlignment="1" applyProtection="1">
      <alignment vertical="center"/>
    </xf>
    <xf numFmtId="2" fontId="61" fillId="0" borderId="112" xfId="92" applyNumberFormat="1" applyFont="1" applyFill="1" applyBorder="1" applyAlignment="1" applyProtection="1">
      <alignment vertical="center"/>
    </xf>
    <xf numFmtId="3" fontId="61" fillId="0" borderId="112" xfId="92" applyNumberFormat="1" applyFont="1" applyFill="1" applyBorder="1" applyAlignment="1" applyProtection="1">
      <alignment vertical="center"/>
    </xf>
    <xf numFmtId="3" fontId="61" fillId="14" borderId="112" xfId="92" applyNumberFormat="1" applyFont="1" applyFill="1" applyBorder="1" applyAlignment="1" applyProtection="1">
      <alignment horizontal="right" vertical="center"/>
    </xf>
    <xf numFmtId="3" fontId="61" fillId="23" borderId="113" xfId="95" applyNumberFormat="1" applyFont="1" applyFill="1" applyBorder="1" applyAlignment="1" applyProtection="1">
      <alignment vertical="center"/>
    </xf>
    <xf numFmtId="3" fontId="61" fillId="32" borderId="113" xfId="95" applyNumberFormat="1" applyFont="1" applyFill="1" applyBorder="1" applyAlignment="1" applyProtection="1">
      <alignment vertical="center"/>
    </xf>
    <xf numFmtId="3" fontId="61" fillId="25" borderId="113" xfId="95" applyNumberFormat="1" applyFont="1" applyFill="1" applyBorder="1" applyAlignment="1" applyProtection="1">
      <alignment vertical="center"/>
    </xf>
    <xf numFmtId="3" fontId="61" fillId="0" borderId="113" xfId="95" applyNumberFormat="1" applyFont="1" applyFill="1" applyBorder="1" applyAlignment="1" applyProtection="1">
      <alignment vertical="center"/>
    </xf>
    <xf numFmtId="3" fontId="61" fillId="22" borderId="113" xfId="95" applyNumberFormat="1" applyFont="1" applyFill="1" applyBorder="1" applyAlignment="1" applyProtection="1">
      <alignment vertical="center"/>
    </xf>
    <xf numFmtId="0" fontId="56" fillId="16" borderId="114" xfId="2" applyFont="1" applyFill="1" applyBorder="1" applyAlignment="1" applyProtection="1">
      <alignment vertical="center" wrapText="1"/>
    </xf>
    <xf numFmtId="3" fontId="61" fillId="25" borderId="112" xfId="92" applyNumberFormat="1" applyFont="1" applyFill="1" applyBorder="1" applyAlignment="1" applyProtection="1">
      <alignment horizontal="right" vertical="center"/>
    </xf>
    <xf numFmtId="3" fontId="61" fillId="23" borderId="113" xfId="92" applyNumberFormat="1" applyFont="1" applyFill="1" applyBorder="1" applyAlignment="1" applyProtection="1">
      <alignment horizontal="right" vertical="center"/>
    </xf>
    <xf numFmtId="3" fontId="61" fillId="22" borderId="112" xfId="92" applyNumberFormat="1" applyFont="1" applyFill="1" applyBorder="1" applyAlignment="1" applyProtection="1">
      <alignment horizontal="right" vertical="center"/>
    </xf>
    <xf numFmtId="3" fontId="56" fillId="16" borderId="115" xfId="92" applyNumberFormat="1" applyFont="1" applyFill="1" applyBorder="1" applyAlignment="1" applyProtection="1">
      <alignment horizontal="right" vertical="center"/>
    </xf>
    <xf numFmtId="174" fontId="61" fillId="0" borderId="116" xfId="91" applyNumberFormat="1" applyFont="1" applyFill="1" applyBorder="1" applyAlignment="1" applyProtection="1">
      <alignment vertical="center" wrapText="1"/>
    </xf>
    <xf numFmtId="3" fontId="61" fillId="0" borderId="116" xfId="91" applyNumberFormat="1" applyFont="1" applyFill="1" applyBorder="1" applyAlignment="1" applyProtection="1">
      <alignment vertical="center" wrapText="1"/>
    </xf>
    <xf numFmtId="3" fontId="61" fillId="14" borderId="117" xfId="91" applyNumberFormat="1" applyFont="1" applyFill="1" applyBorder="1" applyAlignment="1" applyProtection="1">
      <alignment horizontal="right" vertical="center" wrapText="1"/>
    </xf>
    <xf numFmtId="3" fontId="92" fillId="23" borderId="118" xfId="95" applyNumberFormat="1" applyFont="1" applyFill="1" applyBorder="1" applyAlignment="1" applyProtection="1">
      <alignment vertical="center"/>
    </xf>
    <xf numFmtId="3" fontId="92" fillId="32" borderId="118" xfId="95" applyNumberFormat="1" applyFont="1" applyFill="1" applyBorder="1" applyAlignment="1" applyProtection="1">
      <alignment vertical="center"/>
    </xf>
    <xf numFmtId="3" fontId="92" fillId="25" borderId="118" xfId="91" applyNumberFormat="1" applyFont="1" applyFill="1" applyBorder="1" applyAlignment="1" applyProtection="1">
      <alignment horizontal="right" vertical="center" wrapText="1"/>
    </xf>
    <xf numFmtId="3" fontId="92" fillId="23" borderId="118" xfId="92" applyNumberFormat="1" applyFont="1" applyFill="1" applyBorder="1" applyAlignment="1" applyProtection="1">
      <alignment horizontal="right" vertical="center"/>
    </xf>
    <xf numFmtId="3" fontId="61" fillId="0" borderId="116" xfId="95" applyNumberFormat="1" applyFont="1" applyFill="1" applyBorder="1" applyAlignment="1" applyProtection="1">
      <alignment vertical="center"/>
    </xf>
    <xf numFmtId="3" fontId="61" fillId="0" borderId="119" xfId="95" applyNumberFormat="1" applyFont="1" applyFill="1" applyBorder="1" applyAlignment="1" applyProtection="1">
      <alignment vertical="center"/>
    </xf>
    <xf numFmtId="3" fontId="61" fillId="22" borderId="119" xfId="91" applyNumberFormat="1" applyFont="1" applyFill="1" applyBorder="1" applyAlignment="1" applyProtection="1">
      <alignment horizontal="right" vertical="center" wrapText="1"/>
    </xf>
    <xf numFmtId="3" fontId="61" fillId="23" borderId="119" xfId="95" applyNumberFormat="1" applyFont="1" applyFill="1" applyBorder="1" applyAlignment="1" applyProtection="1">
      <alignment vertical="center"/>
    </xf>
    <xf numFmtId="178" fontId="65" fillId="13" borderId="52" xfId="95" applyNumberFormat="1" applyFont="1" applyFill="1" applyBorder="1" applyAlignment="1" applyProtection="1">
      <alignment vertical="center"/>
    </xf>
    <xf numFmtId="0" fontId="61" fillId="0" borderId="122" xfId="2" applyFont="1" applyFill="1" applyBorder="1" applyAlignment="1" applyProtection="1">
      <alignment horizontal="left" vertical="center" wrapText="1"/>
    </xf>
    <xf numFmtId="3" fontId="61" fillId="0" borderId="122" xfId="2" applyNumberFormat="1" applyFont="1" applyFill="1" applyBorder="1" applyAlignment="1" applyProtection="1">
      <alignment horizontal="right" vertical="center" wrapText="1"/>
    </xf>
    <xf numFmtId="3" fontId="61" fillId="0" borderId="123" xfId="95" applyNumberFormat="1" applyFont="1" applyFill="1" applyBorder="1" applyAlignment="1" applyProtection="1">
      <alignment vertical="center"/>
    </xf>
    <xf numFmtId="0" fontId="61" fillId="0" borderId="112" xfId="2" applyFont="1" applyFill="1" applyBorder="1" applyAlignment="1" applyProtection="1">
      <alignment horizontal="left" vertical="center" wrapText="1"/>
    </xf>
    <xf numFmtId="3" fontId="61" fillId="0" borderId="112" xfId="2" applyNumberFormat="1" applyFont="1" applyFill="1" applyBorder="1" applyAlignment="1" applyProtection="1">
      <alignment horizontal="right" vertical="center" wrapText="1"/>
    </xf>
    <xf numFmtId="3" fontId="61" fillId="14" borderId="113" xfId="91" applyNumberFormat="1" applyFont="1" applyFill="1" applyBorder="1" applyAlignment="1" applyProtection="1">
      <alignment horizontal="right" vertical="center" wrapText="1"/>
    </xf>
    <xf numFmtId="3" fontId="61" fillId="15" borderId="113" xfId="95" applyNumberFormat="1" applyFont="1" applyFill="1" applyBorder="1" applyAlignment="1" applyProtection="1">
      <alignment vertical="center"/>
    </xf>
    <xf numFmtId="3" fontId="61" fillId="15" borderId="112" xfId="92" applyNumberFormat="1" applyFont="1" applyFill="1" applyBorder="1" applyAlignment="1" applyProtection="1">
      <alignment horizontal="right" vertical="center"/>
    </xf>
    <xf numFmtId="3" fontId="65" fillId="0" borderId="113" xfId="95" applyNumberFormat="1" applyFont="1" applyFill="1" applyBorder="1" applyAlignment="1" applyProtection="1">
      <alignment vertical="center"/>
    </xf>
    <xf numFmtId="3" fontId="56" fillId="16" borderId="114" xfId="92" applyNumberFormat="1" applyFont="1" applyFill="1" applyBorder="1" applyAlignment="1" applyProtection="1">
      <alignment horizontal="right" vertical="center"/>
    </xf>
    <xf numFmtId="174" fontId="61" fillId="0" borderId="122" xfId="91" applyNumberFormat="1" applyFont="1" applyFill="1" applyBorder="1" applyAlignment="1" applyProtection="1">
      <alignment vertical="center" wrapText="1"/>
    </xf>
    <xf numFmtId="167" fontId="61" fillId="0" borderId="123" xfId="91" applyNumberFormat="1" applyFont="1" applyFill="1" applyBorder="1" applyAlignment="1" applyProtection="1">
      <alignment vertical="center" wrapText="1"/>
    </xf>
    <xf numFmtId="167" fontId="61" fillId="14" borderId="123" xfId="91" applyNumberFormat="1" applyFont="1" applyFill="1" applyBorder="1" applyAlignment="1" applyProtection="1">
      <alignment horizontal="right" vertical="center" wrapText="1"/>
    </xf>
    <xf numFmtId="167" fontId="61" fillId="15" borderId="123" xfId="91" applyNumberFormat="1" applyFont="1" applyFill="1" applyBorder="1" applyAlignment="1" applyProtection="1">
      <alignment horizontal="right" vertical="center" wrapText="1"/>
    </xf>
    <xf numFmtId="167" fontId="61" fillId="0" borderId="123" xfId="94" applyNumberFormat="1" applyFont="1" applyFill="1" applyBorder="1" applyAlignment="1" applyProtection="1">
      <alignment vertical="center"/>
    </xf>
    <xf numFmtId="167" fontId="61" fillId="22" borderId="123" xfId="91" applyNumberFormat="1" applyFont="1" applyFill="1" applyBorder="1" applyAlignment="1" applyProtection="1">
      <alignment horizontal="right" vertical="center" wrapText="1"/>
    </xf>
    <xf numFmtId="10" fontId="56" fillId="16" borderId="124" xfId="91" applyNumberFormat="1" applyFont="1" applyFill="1" applyBorder="1" applyAlignment="1" applyProtection="1">
      <alignment horizontal="right" vertical="center" wrapText="1"/>
    </xf>
    <xf numFmtId="174" fontId="89" fillId="0" borderId="122" xfId="91" applyNumberFormat="1" applyFont="1" applyFill="1" applyBorder="1" applyAlignment="1" applyProtection="1">
      <alignment vertical="center" wrapText="1"/>
    </xf>
    <xf numFmtId="167" fontId="61" fillId="0" borderId="113" xfId="91" applyNumberFormat="1" applyFont="1" applyFill="1" applyBorder="1" applyAlignment="1" applyProtection="1">
      <alignment vertical="center" wrapText="1"/>
    </xf>
    <xf numFmtId="167" fontId="61" fillId="14" borderId="113" xfId="91" applyNumberFormat="1" applyFont="1" applyFill="1" applyBorder="1" applyAlignment="1" applyProtection="1">
      <alignment horizontal="right" vertical="center" wrapText="1"/>
    </xf>
    <xf numFmtId="167" fontId="61" fillId="15" borderId="113" xfId="91" applyNumberFormat="1" applyFont="1" applyFill="1" applyBorder="1" applyAlignment="1" applyProtection="1">
      <alignment horizontal="right" vertical="center" wrapText="1"/>
    </xf>
    <xf numFmtId="167" fontId="61" fillId="0" borderId="113" xfId="94" applyNumberFormat="1" applyFont="1" applyFill="1" applyBorder="1" applyAlignment="1" applyProtection="1">
      <alignment vertical="center"/>
    </xf>
    <xf numFmtId="167" fontId="61" fillId="22" borderId="113" xfId="91" applyNumberFormat="1" applyFont="1" applyFill="1" applyBorder="1" applyAlignment="1" applyProtection="1">
      <alignment horizontal="right" vertical="center" wrapText="1"/>
    </xf>
    <xf numFmtId="10" fontId="56" fillId="16" borderId="115" xfId="91" applyNumberFormat="1" applyFont="1" applyFill="1" applyBorder="1" applyAlignment="1" applyProtection="1">
      <alignment horizontal="right" vertical="center" wrapText="1"/>
    </xf>
    <xf numFmtId="0" fontId="60" fillId="0" borderId="125" xfId="2" applyFont="1" applyFill="1" applyBorder="1" applyAlignment="1">
      <alignment vertical="center" wrapText="1"/>
    </xf>
    <xf numFmtId="167" fontId="61" fillId="0" borderId="111" xfId="2" applyNumberFormat="1" applyFont="1" applyFill="1" applyBorder="1" applyAlignment="1">
      <alignment vertical="center"/>
    </xf>
    <xf numFmtId="167" fontId="61" fillId="14" borderId="111" xfId="2" applyNumberFormat="1" applyFont="1" applyFill="1" applyBorder="1" applyAlignment="1">
      <alignment horizontal="right" vertical="center"/>
    </xf>
    <xf numFmtId="167" fontId="61" fillId="15" borderId="111" xfId="2" applyNumberFormat="1" applyFont="1" applyFill="1" applyBorder="1" applyAlignment="1">
      <alignment horizontal="right" vertical="center"/>
    </xf>
    <xf numFmtId="167" fontId="61" fillId="0" borderId="111" xfId="94" applyNumberFormat="1" applyFont="1" applyFill="1" applyBorder="1" applyAlignment="1" applyProtection="1">
      <alignment vertical="center"/>
    </xf>
    <xf numFmtId="167" fontId="88" fillId="0" borderId="111" xfId="94" applyNumberFormat="1" applyFont="1" applyFill="1" applyBorder="1" applyAlignment="1" applyProtection="1">
      <alignment vertical="center"/>
    </xf>
    <xf numFmtId="167" fontId="69" fillId="0" borderId="111" xfId="94" applyNumberFormat="1" applyFont="1" applyFill="1" applyBorder="1" applyAlignment="1" applyProtection="1">
      <alignment vertical="center"/>
    </xf>
    <xf numFmtId="167" fontId="87" fillId="0" borderId="111" xfId="94" applyNumberFormat="1" applyFont="1" applyFill="1" applyBorder="1" applyAlignment="1" applyProtection="1">
      <alignment vertical="center"/>
    </xf>
    <xf numFmtId="167" fontId="61" fillId="22" borderId="111" xfId="2" applyNumberFormat="1" applyFont="1" applyFill="1" applyBorder="1" applyAlignment="1">
      <alignment horizontal="right" vertical="center"/>
    </xf>
    <xf numFmtId="167" fontId="61" fillId="2" borderId="111" xfId="94" applyNumberFormat="1" applyFont="1" applyFill="1" applyBorder="1" applyAlignment="1" applyProtection="1">
      <alignment vertical="center"/>
    </xf>
    <xf numFmtId="10" fontId="56" fillId="16" borderId="126" xfId="2" applyNumberFormat="1" applyFont="1" applyFill="1" applyBorder="1" applyAlignment="1">
      <alignment horizontal="right" vertical="center"/>
    </xf>
    <xf numFmtId="3" fontId="35" fillId="0" borderId="113" xfId="92" applyNumberFormat="1" applyFont="1" applyFill="1" applyBorder="1" applyAlignment="1" applyProtection="1">
      <alignment vertical="center"/>
    </xf>
    <xf numFmtId="3" fontId="35" fillId="23" borderId="123" xfId="92" applyNumberFormat="1" applyFont="1" applyFill="1" applyBorder="1" applyAlignment="1" applyProtection="1">
      <alignment horizontal="right" vertical="center"/>
    </xf>
    <xf numFmtId="3" fontId="35" fillId="22" borderId="119" xfId="92" applyNumberFormat="1" applyFont="1" applyFill="1" applyBorder="1" applyAlignment="1" applyProtection="1">
      <alignment horizontal="right" vertical="center"/>
    </xf>
    <xf numFmtId="3" fontId="35" fillId="15" borderId="123" xfId="92" applyNumberFormat="1" applyFont="1" applyFill="1" applyBorder="1" applyAlignment="1" applyProtection="1">
      <alignment horizontal="right" vertical="center"/>
    </xf>
    <xf numFmtId="3" fontId="84" fillId="16" borderId="127" xfId="92" applyNumberFormat="1" applyFont="1" applyFill="1" applyBorder="1" applyAlignment="1" applyProtection="1">
      <alignment horizontal="right" vertical="center" wrapText="1"/>
    </xf>
    <xf numFmtId="0" fontId="61" fillId="2" borderId="128" xfId="2" applyFont="1" applyFill="1" applyBorder="1" applyAlignment="1">
      <alignment vertical="center" wrapText="1"/>
    </xf>
    <xf numFmtId="3" fontId="58" fillId="20" borderId="129" xfId="92" applyNumberFormat="1" applyFont="1" applyFill="1" applyBorder="1" applyAlignment="1" applyProtection="1">
      <alignment vertical="center"/>
    </xf>
    <xf numFmtId="1" fontId="58" fillId="20" borderId="129" xfId="94" applyNumberFormat="1" applyFont="1" applyFill="1" applyBorder="1" applyAlignment="1" applyProtection="1">
      <alignment horizontal="right" vertical="center" wrapText="1"/>
    </xf>
    <xf numFmtId="10" fontId="58" fillId="33" borderId="130" xfId="94" applyNumberFormat="1" applyFont="1" applyFill="1" applyBorder="1" applyAlignment="1" applyProtection="1">
      <alignment horizontal="right" vertical="center"/>
    </xf>
    <xf numFmtId="10" fontId="61" fillId="20" borderId="128" xfId="94" applyNumberFormat="1" applyFont="1" applyFill="1" applyBorder="1" applyAlignment="1" applyProtection="1">
      <alignment vertical="center"/>
    </xf>
    <xf numFmtId="10" fontId="61" fillId="20" borderId="128" xfId="94" applyNumberFormat="1" applyFont="1" applyFill="1" applyBorder="1" applyProtection="1"/>
    <xf numFmtId="1" fontId="58" fillId="20" borderId="128" xfId="2" applyNumberFormat="1" applyFont="1" applyFill="1" applyBorder="1" applyAlignment="1">
      <alignment vertical="center"/>
    </xf>
    <xf numFmtId="3" fontId="58" fillId="20" borderId="128" xfId="92" applyNumberFormat="1" applyFont="1" applyFill="1" applyBorder="1" applyAlignment="1" applyProtection="1">
      <alignment horizontal="right" vertical="center"/>
    </xf>
    <xf numFmtId="10" fontId="60" fillId="13" borderId="128" xfId="94" applyNumberFormat="1" applyFont="1" applyFill="1" applyBorder="1" applyAlignment="1" applyProtection="1">
      <alignment vertical="center"/>
    </xf>
    <xf numFmtId="10" fontId="60" fillId="34" borderId="130" xfId="94" applyNumberFormat="1" applyFont="1" applyFill="1" applyBorder="1" applyAlignment="1" applyProtection="1">
      <alignment vertical="center"/>
    </xf>
    <xf numFmtId="10" fontId="68" fillId="16" borderId="131" xfId="94" applyNumberFormat="1" applyFont="1" applyFill="1" applyBorder="1" applyAlignment="1" applyProtection="1">
      <alignment horizontal="right" vertical="center" wrapText="1"/>
    </xf>
    <xf numFmtId="0" fontId="67" fillId="2" borderId="25" xfId="2" applyFont="1" applyFill="1" applyBorder="1" applyAlignment="1" applyProtection="1">
      <alignment horizontal="center" vertical="center" wrapText="1"/>
    </xf>
    <xf numFmtId="3" fontId="61" fillId="0" borderId="113" xfId="95" applyNumberFormat="1" applyFont="1" applyFill="1" applyBorder="1" applyAlignment="1" applyProtection="1">
      <alignment horizontal="right" vertical="center"/>
    </xf>
    <xf numFmtId="3" fontId="61" fillId="29" borderId="113" xfId="95" applyNumberFormat="1" applyFont="1" applyFill="1" applyBorder="1" applyAlignment="1" applyProtection="1">
      <alignment vertical="center"/>
    </xf>
    <xf numFmtId="3" fontId="61" fillId="28" borderId="123" xfId="95" applyNumberFormat="1" applyFont="1" applyFill="1" applyBorder="1" applyAlignment="1" applyProtection="1">
      <alignment vertical="center"/>
    </xf>
    <xf numFmtId="3" fontId="59" fillId="27" borderId="132" xfId="92" applyNumberFormat="1" applyFont="1" applyFill="1" applyBorder="1" applyAlignment="1" applyProtection="1">
      <alignment vertical="center" wrapText="1"/>
    </xf>
    <xf numFmtId="3" fontId="61" fillId="28" borderId="119" xfId="95" applyNumberFormat="1" applyFont="1" applyFill="1" applyBorder="1" applyAlignment="1" applyProtection="1">
      <alignment vertical="center"/>
    </xf>
    <xf numFmtId="3" fontId="59" fillId="27" borderId="133" xfId="92" applyNumberFormat="1" applyFont="1" applyFill="1" applyBorder="1" applyAlignment="1" applyProtection="1">
      <alignment vertical="center" wrapText="1"/>
    </xf>
    <xf numFmtId="3" fontId="61" fillId="0" borderId="123" xfId="95" applyNumberFormat="1" applyFont="1" applyFill="1" applyBorder="1" applyAlignment="1" applyProtection="1">
      <alignment horizontal="right" vertical="center"/>
    </xf>
    <xf numFmtId="3" fontId="61" fillId="2" borderId="113" xfId="95" applyNumberFormat="1" applyFont="1" applyFill="1" applyBorder="1" applyAlignment="1" applyProtection="1">
      <alignment horizontal="right" vertical="center"/>
    </xf>
    <xf numFmtId="3" fontId="61" fillId="28" borderId="111" xfId="95" applyNumberFormat="1" applyFont="1" applyFill="1" applyBorder="1" applyAlignment="1" applyProtection="1">
      <alignment vertical="center"/>
    </xf>
    <xf numFmtId="3" fontId="59" fillId="27" borderId="134" xfId="92" applyNumberFormat="1" applyFont="1" applyFill="1" applyBorder="1" applyAlignment="1" applyProtection="1">
      <alignment vertical="center" wrapText="1"/>
    </xf>
    <xf numFmtId="3" fontId="61" fillId="29" borderId="112" xfId="92" applyNumberFormat="1" applyFont="1" applyFill="1" applyBorder="1" applyAlignment="1" applyProtection="1">
      <alignment horizontal="right" vertical="center"/>
    </xf>
    <xf numFmtId="3" fontId="61" fillId="29" borderId="112" xfId="92" applyNumberFormat="1" applyFont="1" applyFill="1" applyBorder="1" applyAlignment="1" applyProtection="1">
      <alignment vertical="center"/>
    </xf>
    <xf numFmtId="3" fontId="56" fillId="27" borderId="114" xfId="92" applyNumberFormat="1" applyFont="1" applyFill="1" applyBorder="1" applyAlignment="1" applyProtection="1">
      <alignment vertical="center"/>
    </xf>
    <xf numFmtId="167" fontId="61" fillId="28" borderId="123" xfId="91" applyNumberFormat="1" applyFont="1" applyFill="1" applyBorder="1" applyAlignment="1" applyProtection="1">
      <alignment horizontal="right" vertical="center" wrapText="1"/>
    </xf>
    <xf numFmtId="167" fontId="61" fillId="0" borderId="123" xfId="94" applyNumberFormat="1" applyFont="1" applyFill="1" applyBorder="1" applyAlignment="1" applyProtection="1">
      <alignment horizontal="right" vertical="center"/>
    </xf>
    <xf numFmtId="167" fontId="61" fillId="29" borderId="123" xfId="91" applyNumberFormat="1" applyFont="1" applyFill="1" applyBorder="1" applyAlignment="1" applyProtection="1">
      <alignment horizontal="right" vertical="center" wrapText="1"/>
    </xf>
    <xf numFmtId="167" fontId="61" fillId="29" borderId="123" xfId="91" applyNumberFormat="1" applyFont="1" applyFill="1" applyBorder="1" applyAlignment="1" applyProtection="1">
      <alignment vertical="center" wrapText="1"/>
    </xf>
    <xf numFmtId="167" fontId="61" fillId="28" borderId="123" xfId="91" applyNumberFormat="1" applyFont="1" applyFill="1" applyBorder="1" applyAlignment="1" applyProtection="1">
      <alignment vertical="center" wrapText="1"/>
    </xf>
    <xf numFmtId="10" fontId="59" fillId="27" borderId="124" xfId="91" applyNumberFormat="1" applyFont="1" applyFill="1" applyBorder="1" applyAlignment="1" applyProtection="1">
      <alignment vertical="center" wrapText="1"/>
    </xf>
    <xf numFmtId="167" fontId="61" fillId="28" borderId="113" xfId="91" applyNumberFormat="1" applyFont="1" applyFill="1" applyBorder="1" applyAlignment="1" applyProtection="1">
      <alignment horizontal="right" vertical="center" wrapText="1"/>
    </xf>
    <xf numFmtId="167" fontId="61" fillId="0" borderId="113" xfId="94" applyNumberFormat="1" applyFont="1" applyFill="1" applyBorder="1" applyAlignment="1" applyProtection="1">
      <alignment horizontal="right" vertical="center"/>
    </xf>
    <xf numFmtId="167" fontId="61" fillId="29" borderId="113" xfId="91" applyNumberFormat="1" applyFont="1" applyFill="1" applyBorder="1" applyAlignment="1" applyProtection="1">
      <alignment horizontal="right" vertical="center" wrapText="1"/>
    </xf>
    <xf numFmtId="167" fontId="61" fillId="29" borderId="113" xfId="91" applyNumberFormat="1" applyFont="1" applyFill="1" applyBorder="1" applyAlignment="1" applyProtection="1">
      <alignment vertical="center" wrapText="1"/>
    </xf>
    <xf numFmtId="167" fontId="61" fillId="28" borderId="113" xfId="91" applyNumberFormat="1" applyFont="1" applyFill="1" applyBorder="1" applyAlignment="1" applyProtection="1">
      <alignment vertical="center" wrapText="1"/>
    </xf>
    <xf numFmtId="10" fontId="59" fillId="27" borderId="115" xfId="91" applyNumberFormat="1" applyFont="1" applyFill="1" applyBorder="1" applyAlignment="1" applyProtection="1">
      <alignment vertical="center" wrapText="1"/>
    </xf>
    <xf numFmtId="167" fontId="61" fillId="28" borderId="111" xfId="2" applyNumberFormat="1" applyFont="1" applyFill="1" applyBorder="1" applyAlignment="1">
      <alignment horizontal="right" vertical="center"/>
    </xf>
    <xf numFmtId="167" fontId="61" fillId="0" borderId="111" xfId="94" applyNumberFormat="1" applyFont="1" applyFill="1" applyBorder="1" applyAlignment="1" applyProtection="1">
      <alignment horizontal="right" vertical="center"/>
    </xf>
    <xf numFmtId="167" fontId="61" fillId="29" borderId="111" xfId="2" applyNumberFormat="1" applyFont="1" applyFill="1" applyBorder="1" applyAlignment="1">
      <alignment horizontal="right" vertical="center"/>
    </xf>
    <xf numFmtId="167" fontId="61" fillId="29" borderId="111" xfId="2" applyNumberFormat="1" applyFont="1" applyFill="1" applyBorder="1" applyAlignment="1">
      <alignment vertical="center"/>
    </xf>
    <xf numFmtId="167" fontId="61" fillId="28" borderId="111" xfId="2" applyNumberFormat="1" applyFont="1" applyFill="1" applyBorder="1" applyAlignment="1">
      <alignment vertical="center"/>
    </xf>
    <xf numFmtId="10" fontId="59" fillId="27" borderId="126" xfId="2" applyNumberFormat="1" applyFont="1" applyFill="1" applyBorder="1" applyAlignment="1">
      <alignment vertical="center"/>
    </xf>
    <xf numFmtId="3" fontId="61" fillId="28" borderId="123" xfId="91" applyNumberFormat="1" applyFont="1" applyFill="1" applyBorder="1" applyAlignment="1" applyProtection="1">
      <alignment horizontal="right" vertical="center" wrapText="1"/>
    </xf>
    <xf numFmtId="1" fontId="61" fillId="13" borderId="123" xfId="2" applyNumberFormat="1" applyFont="1" applyFill="1" applyBorder="1" applyAlignment="1">
      <alignment horizontal="right" vertical="center"/>
    </xf>
    <xf numFmtId="3" fontId="61" fillId="29" borderId="122" xfId="92" applyNumberFormat="1" applyFont="1" applyFill="1" applyBorder="1" applyAlignment="1" applyProtection="1">
      <alignment horizontal="right" vertical="center"/>
    </xf>
    <xf numFmtId="3" fontId="61" fillId="29" borderId="122" xfId="92" applyNumberFormat="1" applyFont="1" applyFill="1" applyBorder="1" applyAlignment="1" applyProtection="1">
      <alignment vertical="center"/>
    </xf>
    <xf numFmtId="3" fontId="61" fillId="28" borderId="123" xfId="91" applyNumberFormat="1" applyFont="1" applyFill="1" applyBorder="1" applyAlignment="1" applyProtection="1">
      <alignment vertical="center" wrapText="1"/>
    </xf>
    <xf numFmtId="3" fontId="59" fillId="27" borderId="127" xfId="92" applyNumberFormat="1" applyFont="1" applyFill="1" applyBorder="1" applyAlignment="1" applyProtection="1">
      <alignment vertical="center" wrapText="1"/>
    </xf>
    <xf numFmtId="10" fontId="58" fillId="31" borderId="130" xfId="94" applyNumberFormat="1" applyFont="1" applyFill="1" applyBorder="1" applyAlignment="1" applyProtection="1">
      <alignment horizontal="right" vertical="center"/>
    </xf>
    <xf numFmtId="10" fontId="15" fillId="13" borderId="128" xfId="94" applyNumberFormat="1" applyFont="1" applyFill="1" applyBorder="1" applyAlignment="1">
      <alignment vertical="center"/>
    </xf>
    <xf numFmtId="10" fontId="15" fillId="36" borderId="130" xfId="94" applyNumberFormat="1" applyFont="1" applyFill="1" applyBorder="1" applyAlignment="1">
      <alignment vertical="center"/>
    </xf>
    <xf numFmtId="10" fontId="58" fillId="31" borderId="130" xfId="94" applyNumberFormat="1" applyFont="1" applyFill="1" applyBorder="1" applyAlignment="1" applyProtection="1">
      <alignment vertical="center"/>
    </xf>
    <xf numFmtId="10" fontId="68" fillId="27" borderId="131" xfId="94" applyNumberFormat="1" applyFont="1" applyFill="1" applyBorder="1" applyAlignment="1" applyProtection="1">
      <alignment vertical="center" wrapText="1"/>
    </xf>
    <xf numFmtId="0" fontId="16" fillId="0" borderId="106" xfId="2" applyNumberFormat="1" applyFont="1" applyFill="1" applyBorder="1" applyAlignment="1" applyProtection="1">
      <alignment horizontal="center" vertical="center" wrapText="1"/>
      <protection locked="0"/>
    </xf>
    <xf numFmtId="0" fontId="17" fillId="2" borderId="106" xfId="2" applyNumberFormat="1" applyFont="1" applyFill="1" applyBorder="1" applyAlignment="1" applyProtection="1">
      <alignment horizontal="center" vertical="center" wrapText="1"/>
      <protection locked="0"/>
    </xf>
    <xf numFmtId="0" fontId="19" fillId="2" borderId="106" xfId="2" applyNumberFormat="1" applyFont="1" applyFill="1" applyBorder="1" applyAlignment="1" applyProtection="1">
      <alignment horizontal="center" vertical="center" wrapText="1"/>
      <protection locked="0"/>
    </xf>
    <xf numFmtId="0" fontId="16" fillId="2" borderId="106" xfId="2" applyNumberFormat="1" applyFont="1" applyFill="1" applyBorder="1" applyAlignment="1" applyProtection="1">
      <alignment horizontal="center" vertical="center" wrapText="1"/>
      <protection locked="0"/>
    </xf>
    <xf numFmtId="49" fontId="11" fillId="7" borderId="3" xfId="2" applyNumberFormat="1" applyFont="1" applyFill="1" applyBorder="1" applyAlignment="1" applyProtection="1">
      <alignment horizontal="left" vertical="center" wrapText="1"/>
      <protection locked="0"/>
    </xf>
    <xf numFmtId="49" fontId="11" fillId="7" borderId="4" xfId="2" applyNumberFormat="1" applyFont="1" applyFill="1" applyBorder="1" applyAlignment="1" applyProtection="1">
      <alignment horizontal="left" vertical="center" wrapText="1"/>
      <protection locked="0"/>
    </xf>
    <xf numFmtId="165" fontId="29" fillId="69" borderId="1" xfId="2" applyNumberFormat="1" applyFont="1" applyFill="1" applyBorder="1" applyAlignment="1" applyProtection="1">
      <alignment horizontal="center" vertical="center"/>
      <protection locked="0"/>
    </xf>
    <xf numFmtId="168" fontId="29" fillId="69" borderId="1" xfId="0" applyNumberFormat="1" applyFont="1" applyFill="1" applyBorder="1" applyAlignment="1">
      <alignment horizontal="center" vertical="center"/>
    </xf>
    <xf numFmtId="168" fontId="42" fillId="69" borderId="1" xfId="0" applyNumberFormat="1" applyFont="1" applyFill="1" applyBorder="1" applyAlignment="1">
      <alignment horizontal="center" vertical="center"/>
    </xf>
    <xf numFmtId="168" fontId="29" fillId="69" borderId="2" xfId="0" applyNumberFormat="1" applyFont="1" applyFill="1" applyBorder="1" applyAlignment="1">
      <alignment horizontal="center" vertical="center"/>
    </xf>
    <xf numFmtId="168" fontId="42" fillId="69" borderId="2" xfId="0" applyNumberFormat="1" applyFont="1" applyFill="1" applyBorder="1" applyAlignment="1">
      <alignment horizontal="center" vertical="center"/>
    </xf>
    <xf numFmtId="49" fontId="42" fillId="69" borderId="1" xfId="2" applyNumberFormat="1" applyFont="1" applyFill="1" applyBorder="1" applyAlignment="1" applyProtection="1">
      <alignment horizontal="left" vertical="center" wrapText="1"/>
      <protection locked="0"/>
    </xf>
    <xf numFmtId="0" fontId="42" fillId="69" borderId="1" xfId="2" applyNumberFormat="1" applyFont="1" applyFill="1" applyBorder="1" applyAlignment="1" applyProtection="1">
      <alignment vertical="top"/>
      <protection locked="0"/>
    </xf>
    <xf numFmtId="49" fontId="42" fillId="69" borderId="2" xfId="2" applyNumberFormat="1" applyFont="1" applyFill="1" applyBorder="1" applyAlignment="1" applyProtection="1">
      <alignment horizontal="left" vertical="center" wrapText="1"/>
      <protection locked="0"/>
    </xf>
    <xf numFmtId="165" fontId="29" fillId="69" borderId="2" xfId="2" applyNumberFormat="1" applyFont="1" applyFill="1" applyBorder="1" applyAlignment="1" applyProtection="1">
      <alignment horizontal="center" vertical="center"/>
      <protection locked="0"/>
    </xf>
    <xf numFmtId="0" fontId="42" fillId="69" borderId="2" xfId="2" applyNumberFormat="1" applyFont="1" applyFill="1" applyBorder="1" applyAlignment="1" applyProtection="1">
      <alignment vertical="top"/>
      <protection locked="0"/>
    </xf>
    <xf numFmtId="177" fontId="12" fillId="2" borderId="107" xfId="4" applyNumberFormat="1" applyFont="1" applyFill="1" applyBorder="1" applyAlignment="1" applyProtection="1">
      <alignment horizontal="center" vertical="center" wrapText="1"/>
      <protection locked="0"/>
    </xf>
    <xf numFmtId="177" fontId="9" fillId="2" borderId="106" xfId="2" applyNumberFormat="1" applyFont="1" applyFill="1" applyBorder="1" applyAlignment="1" applyProtection="1">
      <alignment horizontal="center" vertical="center" wrapText="1"/>
      <protection locked="0"/>
    </xf>
    <xf numFmtId="177" fontId="9" fillId="2" borderId="107" xfId="2" applyNumberFormat="1" applyFont="1" applyFill="1" applyBorder="1" applyAlignment="1" applyProtection="1">
      <alignment horizontal="center" vertical="center" wrapText="1"/>
      <protection locked="0"/>
    </xf>
    <xf numFmtId="177" fontId="9" fillId="2" borderId="107" xfId="4" applyNumberFormat="1" applyFont="1" applyFill="1" applyBorder="1" applyAlignment="1" applyProtection="1">
      <alignment horizontal="center" vertical="center" wrapText="1"/>
      <protection locked="0"/>
    </xf>
    <xf numFmtId="0" fontId="38" fillId="2" borderId="10" xfId="2" applyNumberFormat="1" applyFont="1" applyFill="1" applyBorder="1" applyAlignment="1" applyProtection="1">
      <alignment horizontal="left" vertical="center" wrapText="1"/>
      <protection locked="0"/>
    </xf>
    <xf numFmtId="0" fontId="100" fillId="0" borderId="0" xfId="2" applyNumberFormat="1" applyFont="1" applyFill="1" applyBorder="1" applyAlignment="1" applyProtection="1">
      <alignment horizontal="left" vertical="top"/>
      <protection locked="0"/>
    </xf>
    <xf numFmtId="0" fontId="7" fillId="0" borderId="0" xfId="2" applyNumberFormat="1" applyFont="1" applyFill="1" applyBorder="1" applyAlignment="1" applyProtection="1">
      <alignment horizontal="left" vertical="center"/>
      <protection locked="0"/>
    </xf>
    <xf numFmtId="0" fontId="0" fillId="0" borderId="110" xfId="0" applyBorder="1"/>
    <xf numFmtId="0" fontId="38" fillId="0" borderId="106" xfId="2" applyNumberFormat="1" applyFont="1" applyFill="1" applyBorder="1" applyAlignment="1" applyProtection="1">
      <alignment horizontal="center" vertical="center" wrapText="1"/>
      <protection locked="0"/>
    </xf>
    <xf numFmtId="0" fontId="40" fillId="2" borderId="106" xfId="2" applyNumberFormat="1" applyFont="1" applyFill="1" applyBorder="1" applyAlignment="1" applyProtection="1">
      <alignment horizontal="left" vertical="center" wrapText="1"/>
      <protection locked="0"/>
    </xf>
    <xf numFmtId="0" fontId="40" fillId="2" borderId="106" xfId="2" applyNumberFormat="1" applyFont="1" applyFill="1" applyBorder="1" applyAlignment="1" applyProtection="1">
      <alignment horizontal="center" vertical="center" wrapText="1"/>
      <protection locked="0"/>
    </xf>
    <xf numFmtId="0" fontId="48" fillId="2" borderId="106" xfId="2" applyNumberFormat="1" applyFont="1" applyFill="1" applyBorder="1" applyAlignment="1" applyProtection="1">
      <alignment horizontal="center" vertical="center" wrapText="1"/>
      <protection locked="0"/>
    </xf>
    <xf numFmtId="3" fontId="40" fillId="2" borderId="106" xfId="2" applyNumberFormat="1" applyFont="1" applyFill="1" applyBorder="1" applyAlignment="1" applyProtection="1">
      <alignment horizontal="center" vertical="center" wrapText="1"/>
      <protection locked="0"/>
    </xf>
    <xf numFmtId="1" fontId="40" fillId="2" borderId="106" xfId="2" applyNumberFormat="1" applyFont="1" applyFill="1" applyBorder="1" applyAlignment="1" applyProtection="1">
      <alignment horizontal="center" vertical="center" wrapText="1"/>
      <protection locked="0"/>
    </xf>
    <xf numFmtId="0" fontId="40" fillId="2" borderId="106" xfId="0" applyNumberFormat="1" applyFont="1" applyFill="1" applyBorder="1" applyAlignment="1">
      <alignment horizontal="center" vertical="center" wrapText="1"/>
    </xf>
    <xf numFmtId="3" fontId="38" fillId="2" borderId="106" xfId="2" applyNumberFormat="1" applyFont="1" applyFill="1" applyBorder="1" applyAlignment="1" applyProtection="1">
      <alignment horizontal="center" vertical="center" wrapText="1"/>
      <protection locked="0"/>
    </xf>
    <xf numFmtId="0" fontId="38" fillId="2" borderId="106" xfId="2" applyNumberFormat="1" applyFont="1" applyFill="1" applyBorder="1" applyAlignment="1" applyProtection="1">
      <alignment horizontal="left" vertical="center" wrapText="1"/>
      <protection locked="0"/>
    </xf>
    <xf numFmtId="3" fontId="52" fillId="2" borderId="106" xfId="2" applyNumberFormat="1" applyFont="1" applyFill="1" applyBorder="1" applyAlignment="1" applyProtection="1">
      <alignment horizontal="center" vertical="center" wrapText="1"/>
      <protection locked="0"/>
    </xf>
    <xf numFmtId="3" fontId="43" fillId="2" borderId="106" xfId="2" applyNumberFormat="1" applyFont="1" applyFill="1" applyBorder="1" applyAlignment="1" applyProtection="1">
      <alignment horizontal="center" vertical="center" wrapText="1"/>
      <protection locked="0"/>
    </xf>
    <xf numFmtId="0" fontId="42" fillId="2" borderId="106" xfId="2" applyNumberFormat="1" applyFont="1" applyFill="1" applyBorder="1" applyAlignment="1" applyProtection="1">
      <alignment horizontal="center" vertical="center" wrapText="1"/>
      <protection locked="0"/>
    </xf>
    <xf numFmtId="0" fontId="52" fillId="2" borderId="106" xfId="2"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lignment horizontal="center" vertical="center" wrapText="1"/>
    </xf>
    <xf numFmtId="3" fontId="42" fillId="2" borderId="106" xfId="2" applyNumberFormat="1" applyFont="1" applyFill="1" applyBorder="1" applyAlignment="1" applyProtection="1">
      <alignment horizontal="center" vertical="center" wrapText="1"/>
      <protection locked="0"/>
    </xf>
    <xf numFmtId="2" fontId="42" fillId="2" borderId="106" xfId="2" applyNumberFormat="1" applyFont="1" applyFill="1" applyBorder="1" applyAlignment="1" applyProtection="1">
      <alignment horizontal="center" vertical="center" wrapText="1"/>
      <protection locked="0"/>
    </xf>
    <xf numFmtId="4" fontId="38" fillId="2" borderId="106" xfId="2" applyNumberFormat="1" applyFont="1" applyFill="1" applyBorder="1" applyAlignment="1" applyProtection="1">
      <alignment horizontal="center" vertical="center" wrapText="1"/>
      <protection locked="0"/>
    </xf>
    <xf numFmtId="2" fontId="43" fillId="2" borderId="106" xfId="2" applyNumberFormat="1" applyFont="1" applyFill="1" applyBorder="1" applyAlignment="1" applyProtection="1">
      <alignment horizontal="center" vertical="center" wrapText="1"/>
      <protection locked="0"/>
    </xf>
    <xf numFmtId="0" fontId="38" fillId="2" borderId="106" xfId="2" applyNumberFormat="1" applyFont="1" applyFill="1" applyBorder="1" applyAlignment="1" applyProtection="1">
      <alignment horizontal="center" vertical="center" wrapText="1"/>
      <protection locked="0"/>
    </xf>
    <xf numFmtId="2" fontId="38" fillId="2" borderId="106" xfId="2" applyNumberFormat="1" applyFont="1" applyFill="1" applyBorder="1" applyAlignment="1" applyProtection="1">
      <alignment horizontal="center" vertical="center" wrapText="1"/>
      <protection locked="0"/>
    </xf>
    <xf numFmtId="2" fontId="40" fillId="2" borderId="106" xfId="2" applyNumberFormat="1" applyFont="1" applyFill="1" applyBorder="1" applyAlignment="1" applyProtection="1">
      <alignment horizontal="center" vertical="center" wrapText="1"/>
      <protection locked="0"/>
    </xf>
    <xf numFmtId="0" fontId="38" fillId="2" borderId="96" xfId="0" applyNumberFormat="1" applyFont="1" applyFill="1" applyBorder="1" applyAlignment="1" applyProtection="1">
      <alignment horizontal="left" vertical="center" wrapText="1"/>
      <protection locked="0"/>
    </xf>
    <xf numFmtId="2" fontId="43" fillId="2" borderId="96" xfId="2" applyNumberFormat="1" applyFont="1" applyFill="1" applyBorder="1" applyAlignment="1" applyProtection="1">
      <alignment horizontal="center" vertical="center" wrapText="1"/>
      <protection locked="0"/>
    </xf>
    <xf numFmtId="2" fontId="38" fillId="2" borderId="96" xfId="2" applyNumberFormat="1" applyFont="1" applyFill="1" applyBorder="1" applyAlignment="1" applyProtection="1">
      <alignment horizontal="center" vertical="center" wrapText="1"/>
      <protection locked="0"/>
    </xf>
    <xf numFmtId="2" fontId="40" fillId="2" borderId="96" xfId="2" applyNumberFormat="1" applyFont="1" applyFill="1" applyBorder="1" applyAlignment="1" applyProtection="1">
      <alignment horizontal="center" vertical="center" wrapText="1"/>
      <protection locked="0"/>
    </xf>
    <xf numFmtId="0" fontId="40" fillId="2" borderId="109" xfId="2" applyNumberFormat="1" applyFont="1" applyFill="1" applyBorder="1" applyAlignment="1" applyProtection="1">
      <alignment horizontal="left" wrapText="1"/>
      <protection locked="0"/>
    </xf>
    <xf numFmtId="0" fontId="50" fillId="2" borderId="106" xfId="2" applyFont="1" applyFill="1" applyBorder="1" applyAlignment="1" applyProtection="1">
      <alignment horizontal="center" vertical="center" wrapText="1"/>
      <protection locked="0"/>
    </xf>
    <xf numFmtId="0" fontId="40" fillId="2" borderId="106" xfId="2" applyFont="1" applyFill="1" applyBorder="1" applyAlignment="1" applyProtection="1">
      <alignment horizontal="center" vertical="center" wrapText="1"/>
      <protection locked="0"/>
    </xf>
    <xf numFmtId="0" fontId="38" fillId="2" borderId="109" xfId="2" applyFont="1" applyFill="1" applyBorder="1" applyAlignment="1" applyProtection="1">
      <alignment horizontal="center" vertical="center" wrapText="1"/>
      <protection locked="0"/>
    </xf>
    <xf numFmtId="0" fontId="42" fillId="2" borderId="106" xfId="0" applyFont="1" applyFill="1" applyBorder="1" applyAlignment="1">
      <alignment vertical="top" wrapText="1"/>
    </xf>
    <xf numFmtId="1" fontId="9" fillId="3" borderId="107" xfId="168" applyNumberFormat="1" applyFont="1" applyFill="1" applyBorder="1" applyAlignment="1">
      <alignment horizontal="center" vertical="center" wrapText="1"/>
    </xf>
    <xf numFmtId="0" fontId="40" fillId="2" borderId="106" xfId="2" applyFont="1" applyFill="1" applyBorder="1" applyAlignment="1" applyProtection="1">
      <alignment horizontal="center" vertical="top" wrapText="1"/>
      <protection locked="0"/>
    </xf>
    <xf numFmtId="1" fontId="38" fillId="2" borderId="106" xfId="2" applyNumberFormat="1" applyFont="1" applyFill="1" applyBorder="1" applyAlignment="1" applyProtection="1">
      <alignment horizontal="center" vertical="center" wrapText="1"/>
      <protection locked="0"/>
    </xf>
    <xf numFmtId="0" fontId="48" fillId="0" borderId="106" xfId="2" applyNumberFormat="1" applyFont="1" applyFill="1" applyBorder="1" applyAlignment="1" applyProtection="1">
      <alignment horizontal="center" vertical="center" wrapText="1"/>
      <protection locked="0"/>
    </xf>
    <xf numFmtId="0" fontId="40" fillId="0" borderId="106" xfId="2" applyNumberFormat="1" applyFont="1" applyFill="1" applyBorder="1" applyAlignment="1" applyProtection="1">
      <alignment horizontal="center" vertical="center" wrapText="1"/>
      <protection locked="0"/>
    </xf>
    <xf numFmtId="1" fontId="40" fillId="0" borderId="106" xfId="2" applyNumberFormat="1" applyFont="1" applyFill="1" applyBorder="1" applyAlignment="1" applyProtection="1">
      <alignment horizontal="center" vertical="center" wrapText="1"/>
      <protection locked="0"/>
    </xf>
    <xf numFmtId="0" fontId="40" fillId="0" borderId="106" xfId="0" applyNumberFormat="1" applyFont="1" applyFill="1" applyBorder="1" applyAlignment="1">
      <alignment horizontal="center" vertical="center" wrapText="1"/>
    </xf>
    <xf numFmtId="0" fontId="41" fillId="0" borderId="106" xfId="2" applyNumberFormat="1" applyFont="1" applyFill="1" applyBorder="1" applyAlignment="1" applyProtection="1">
      <alignment vertical="top" wrapText="1"/>
      <protection locked="0"/>
    </xf>
    <xf numFmtId="3" fontId="38" fillId="0" borderId="106" xfId="2" applyNumberFormat="1" applyFont="1" applyFill="1" applyBorder="1" applyAlignment="1" applyProtection="1">
      <alignment horizontal="center" vertical="center" wrapText="1"/>
      <protection locked="0"/>
    </xf>
    <xf numFmtId="0" fontId="38" fillId="0" borderId="106" xfId="2" applyNumberFormat="1" applyFont="1" applyFill="1" applyBorder="1" applyAlignment="1" applyProtection="1">
      <alignment horizontal="left" vertical="center" wrapText="1"/>
      <protection locked="0"/>
    </xf>
    <xf numFmtId="0" fontId="40" fillId="0" borderId="106" xfId="2" applyNumberFormat="1" applyFont="1" applyFill="1" applyBorder="1" applyAlignment="1" applyProtection="1">
      <alignment horizontal="left" vertical="center" wrapText="1"/>
      <protection locked="0"/>
    </xf>
    <xf numFmtId="0" fontId="42" fillId="0" borderId="106" xfId="2" applyNumberFormat="1" applyFont="1" applyFill="1" applyBorder="1" applyAlignment="1" applyProtection="1">
      <alignment horizontal="left" vertical="center" wrapText="1"/>
      <protection locked="0"/>
    </xf>
    <xf numFmtId="0" fontId="52" fillId="0" borderId="106" xfId="2" applyNumberFormat="1" applyFont="1" applyFill="1" applyBorder="1" applyAlignment="1" applyProtection="1">
      <alignment horizontal="center" vertical="center" wrapText="1"/>
      <protection locked="0"/>
    </xf>
    <xf numFmtId="0" fontId="42" fillId="0" borderId="106" xfId="2" applyNumberFormat="1" applyFont="1" applyFill="1" applyBorder="1" applyAlignment="1" applyProtection="1">
      <alignment horizontal="center" vertical="center" wrapText="1"/>
      <protection locked="0"/>
    </xf>
    <xf numFmtId="1" fontId="42" fillId="0" borderId="106" xfId="2" applyNumberFormat="1" applyFont="1" applyFill="1" applyBorder="1" applyAlignment="1" applyProtection="1">
      <alignment horizontal="center" vertical="center" wrapText="1"/>
      <protection locked="0"/>
    </xf>
    <xf numFmtId="1" fontId="42" fillId="2" borderId="106" xfId="0" applyNumberFormat="1" applyFont="1" applyFill="1" applyBorder="1" applyAlignment="1">
      <alignment horizontal="center" vertical="center"/>
    </xf>
    <xf numFmtId="1" fontId="42" fillId="2" borderId="106" xfId="2" applyNumberFormat="1" applyFont="1" applyFill="1" applyBorder="1" applyAlignment="1" applyProtection="1">
      <alignment vertical="top"/>
      <protection locked="0"/>
    </xf>
    <xf numFmtId="1" fontId="23" fillId="2" borderId="106" xfId="0" applyNumberFormat="1" applyFont="1" applyFill="1" applyBorder="1" applyAlignment="1">
      <alignment horizontal="center" vertical="center"/>
    </xf>
    <xf numFmtId="49" fontId="38" fillId="0" borderId="106" xfId="2" applyNumberFormat="1" applyFont="1" applyFill="1" applyBorder="1" applyAlignment="1" applyProtection="1">
      <alignment horizontal="center" vertical="center" wrapText="1"/>
      <protection locked="0"/>
    </xf>
    <xf numFmtId="3" fontId="12" fillId="0" borderId="106" xfId="2" applyNumberFormat="1" applyFont="1" applyFill="1" applyBorder="1" applyAlignment="1" applyProtection="1">
      <alignment horizontal="center" vertical="center" wrapText="1"/>
      <protection locked="0"/>
    </xf>
    <xf numFmtId="2" fontId="38" fillId="0" borderId="106" xfId="2" applyNumberFormat="1" applyFont="1" applyFill="1" applyBorder="1" applyAlignment="1" applyProtection="1">
      <alignment horizontal="center" vertical="center" wrapText="1"/>
      <protection locked="0"/>
    </xf>
    <xf numFmtId="2" fontId="12" fillId="0" borderId="106" xfId="2" applyNumberFormat="1" applyFont="1" applyFill="1" applyBorder="1" applyAlignment="1" applyProtection="1">
      <alignment horizontal="center" vertical="center" wrapText="1"/>
      <protection locked="0"/>
    </xf>
    <xf numFmtId="2" fontId="40" fillId="0" borderId="106" xfId="2" applyNumberFormat="1" applyFont="1" applyFill="1" applyBorder="1" applyAlignment="1" applyProtection="1">
      <alignment horizontal="center" vertical="center" wrapText="1"/>
      <protection locked="0"/>
    </xf>
    <xf numFmtId="2" fontId="12" fillId="0" borderId="106" xfId="0" applyNumberFormat="1" applyFont="1" applyFill="1" applyBorder="1" applyAlignment="1" applyProtection="1">
      <alignment horizontal="center" vertical="center" wrapText="1"/>
      <protection locked="0"/>
    </xf>
    <xf numFmtId="4" fontId="38" fillId="0" borderId="106" xfId="2" applyNumberFormat="1" applyFont="1" applyFill="1" applyBorder="1" applyAlignment="1" applyProtection="1">
      <alignment horizontal="center" vertical="center" wrapText="1"/>
      <protection locked="0"/>
    </xf>
    <xf numFmtId="0" fontId="38" fillId="0" borderId="96" xfId="0" applyNumberFormat="1" applyFont="1" applyFill="1" applyBorder="1" applyAlignment="1" applyProtection="1">
      <alignment horizontal="left" vertical="center" wrapText="1"/>
      <protection locked="0"/>
    </xf>
    <xf numFmtId="2" fontId="38" fillId="0" borderId="96" xfId="2" applyNumberFormat="1" applyFont="1" applyFill="1" applyBorder="1" applyAlignment="1" applyProtection="1">
      <alignment horizontal="center" vertical="center" wrapText="1"/>
      <protection locked="0"/>
    </xf>
    <xf numFmtId="10" fontId="38" fillId="2" borderId="106" xfId="2" applyNumberFormat="1" applyFont="1" applyFill="1" applyBorder="1" applyAlignment="1" applyProtection="1">
      <alignment horizontal="center" vertical="center" wrapText="1"/>
      <protection locked="0"/>
    </xf>
    <xf numFmtId="10" fontId="40" fillId="2" borderId="106" xfId="2" applyNumberFormat="1" applyFont="1" applyFill="1" applyBorder="1" applyAlignment="1" applyProtection="1">
      <alignment horizontal="center" vertical="center" wrapText="1"/>
      <protection locked="0"/>
    </xf>
    <xf numFmtId="10" fontId="38" fillId="0" borderId="106" xfId="2" applyNumberFormat="1" applyFont="1" applyFill="1" applyBorder="1" applyAlignment="1" applyProtection="1">
      <alignment horizontal="center" vertical="center" wrapText="1"/>
      <protection locked="0"/>
    </xf>
    <xf numFmtId="0" fontId="41" fillId="2" borderId="106" xfId="2" applyNumberFormat="1" applyFont="1" applyFill="1" applyBorder="1" applyAlignment="1" applyProtection="1">
      <alignment vertical="top" wrapText="1"/>
      <protection locked="0"/>
    </xf>
    <xf numFmtId="0" fontId="40" fillId="2" borderId="7" xfId="2" applyNumberFormat="1" applyFont="1" applyFill="1" applyBorder="1" applyAlignment="1" applyProtection="1">
      <alignment horizontal="left" vertical="center" wrapText="1"/>
      <protection locked="0"/>
    </xf>
    <xf numFmtId="10" fontId="38" fillId="2" borderId="7" xfId="2" applyNumberFormat="1" applyFont="1" applyFill="1" applyBorder="1" applyAlignment="1" applyProtection="1">
      <alignment horizontal="center" vertical="center" wrapText="1"/>
      <protection locked="0"/>
    </xf>
    <xf numFmtId="10" fontId="40" fillId="2" borderId="7" xfId="2" applyNumberFormat="1" applyFont="1" applyFill="1" applyBorder="1" applyAlignment="1" applyProtection="1">
      <alignment horizontal="center" vertical="center" wrapText="1"/>
      <protection locked="0"/>
    </xf>
    <xf numFmtId="10" fontId="38" fillId="0" borderId="8" xfId="2" applyNumberFormat="1" applyFont="1" applyFill="1" applyBorder="1" applyAlignment="1" applyProtection="1">
      <alignment horizontal="center" vertical="center" wrapText="1"/>
      <protection locked="0"/>
    </xf>
    <xf numFmtId="1" fontId="12" fillId="0" borderId="106" xfId="2" applyNumberFormat="1" applyFont="1" applyFill="1" applyBorder="1" applyAlignment="1" applyProtection="1">
      <alignment horizontal="center" vertical="center" wrapText="1"/>
      <protection locked="0"/>
    </xf>
    <xf numFmtId="1" fontId="40" fillId="2" borderId="106" xfId="0" applyNumberFormat="1" applyFont="1" applyFill="1" applyBorder="1" applyAlignment="1">
      <alignment horizontal="center" vertical="center" wrapText="1"/>
    </xf>
    <xf numFmtId="0" fontId="12" fillId="2" borderId="106" xfId="0" applyNumberFormat="1" applyFont="1" applyFill="1" applyBorder="1" applyAlignment="1">
      <alignment horizontal="center" vertical="center" wrapText="1"/>
    </xf>
    <xf numFmtId="0" fontId="12" fillId="2" borderId="106" xfId="2" applyNumberFormat="1" applyFont="1" applyFill="1" applyBorder="1" applyAlignment="1" applyProtection="1">
      <alignment horizontal="center" vertical="center" wrapText="1"/>
      <protection locked="0"/>
    </xf>
    <xf numFmtId="1" fontId="43" fillId="2" borderId="106" xfId="2" applyNumberFormat="1" applyFont="1" applyFill="1" applyBorder="1" applyAlignment="1" applyProtection="1">
      <alignment horizontal="center" vertical="center" wrapText="1"/>
      <protection locked="0"/>
    </xf>
    <xf numFmtId="3" fontId="48" fillId="2" borderId="106" xfId="2" applyNumberFormat="1" applyFont="1" applyFill="1" applyBorder="1" applyAlignment="1" applyProtection="1">
      <alignment horizontal="center" vertical="center" wrapText="1"/>
      <protection locked="0"/>
    </xf>
    <xf numFmtId="1" fontId="9" fillId="0" borderId="106" xfId="2" applyNumberFormat="1" applyFont="1" applyFill="1" applyBorder="1" applyAlignment="1" applyProtection="1">
      <alignment horizontal="center" vertical="center" wrapText="1"/>
      <protection locked="0"/>
    </xf>
    <xf numFmtId="1" fontId="23" fillId="2" borderId="106" xfId="2" applyNumberFormat="1" applyFont="1" applyFill="1" applyBorder="1" applyAlignment="1" applyProtection="1">
      <alignment horizontal="center" vertical="center" wrapText="1"/>
      <protection locked="0"/>
    </xf>
    <xf numFmtId="1" fontId="29" fillId="2" borderId="106" xfId="0" applyNumberFormat="1" applyFont="1" applyFill="1" applyBorder="1" applyAlignment="1">
      <alignment horizontal="center" vertical="center" wrapText="1"/>
    </xf>
    <xf numFmtId="1" fontId="29" fillId="2" borderId="106" xfId="2" applyNumberFormat="1" applyFont="1" applyFill="1" applyBorder="1" applyAlignment="1" applyProtection="1">
      <alignment horizontal="center" vertical="center" wrapText="1"/>
      <protection locked="0"/>
    </xf>
    <xf numFmtId="0" fontId="29" fillId="2" borderId="106" xfId="2" applyNumberFormat="1" applyFont="1" applyFill="1" applyBorder="1" applyAlignment="1" applyProtection="1">
      <alignment horizontal="center" vertical="center" wrapText="1"/>
      <protection locked="0"/>
    </xf>
    <xf numFmtId="0" fontId="42" fillId="2" borderId="106" xfId="2" applyNumberFormat="1" applyFont="1" applyFill="1" applyBorder="1" applyAlignment="1" applyProtection="1">
      <alignment horizontal="left" vertical="center" wrapText="1"/>
      <protection locked="0"/>
    </xf>
    <xf numFmtId="1" fontId="42" fillId="2" borderId="106" xfId="2" applyNumberFormat="1" applyFont="1" applyFill="1" applyBorder="1" applyAlignment="1" applyProtection="1">
      <alignment horizontal="center" vertical="center" wrapText="1"/>
      <protection locked="0"/>
    </xf>
    <xf numFmtId="168" fontId="42" fillId="2" borderId="106" xfId="0" applyNumberFormat="1" applyFont="1" applyFill="1" applyBorder="1" applyAlignment="1">
      <alignment horizontal="center" vertical="center"/>
    </xf>
    <xf numFmtId="0" fontId="42" fillId="2" borderId="106" xfId="2" applyNumberFormat="1" applyFont="1" applyFill="1" applyBorder="1" applyAlignment="1" applyProtection="1">
      <alignment vertical="top"/>
      <protection locked="0"/>
    </xf>
    <xf numFmtId="0" fontId="43" fillId="2" borderId="106" xfId="2" applyNumberFormat="1" applyFont="1" applyFill="1" applyBorder="1" applyAlignment="1" applyProtection="1">
      <alignment horizontal="center" vertical="center" wrapText="1"/>
      <protection locked="0"/>
    </xf>
    <xf numFmtId="0" fontId="40" fillId="2" borderId="107" xfId="2" applyNumberFormat="1" applyFont="1" applyFill="1" applyBorder="1" applyAlignment="1" applyProtection="1">
      <alignment horizontal="center" vertical="center" wrapText="1"/>
      <protection locked="0"/>
    </xf>
    <xf numFmtId="0" fontId="43" fillId="2" borderId="107" xfId="2" applyNumberFormat="1" applyFont="1" applyFill="1" applyBorder="1" applyAlignment="1" applyProtection="1">
      <alignment horizontal="center" vertical="center" wrapText="1"/>
      <protection locked="0"/>
    </xf>
    <xf numFmtId="2" fontId="29" fillId="2" borderId="106" xfId="2" applyNumberFormat="1" applyFont="1" applyFill="1" applyBorder="1" applyAlignment="1" applyProtection="1">
      <alignment horizontal="center" vertical="center" wrapText="1"/>
      <protection locked="0"/>
    </xf>
    <xf numFmtId="4" fontId="43" fillId="2" borderId="107" xfId="2" applyNumberFormat="1" applyFont="1" applyFill="1" applyBorder="1" applyAlignment="1" applyProtection="1">
      <alignment horizontal="center" vertical="center" wrapText="1"/>
      <protection locked="0"/>
    </xf>
    <xf numFmtId="2" fontId="29" fillId="2" borderId="106" xfId="0" applyNumberFormat="1" applyFont="1" applyFill="1" applyBorder="1" applyAlignment="1">
      <alignment horizontal="center" vertical="center" wrapText="1"/>
    </xf>
    <xf numFmtId="10" fontId="43" fillId="2" borderId="106" xfId="1" applyNumberFormat="1" applyFont="1" applyFill="1" applyBorder="1" applyAlignment="1" applyProtection="1">
      <alignment horizontal="center" vertical="center" wrapText="1"/>
      <protection locked="0"/>
    </xf>
    <xf numFmtId="10" fontId="40" fillId="0" borderId="0" xfId="2" applyNumberFormat="1" applyFont="1" applyFill="1" applyAlignment="1" applyProtection="1">
      <alignment vertical="top" wrapText="1"/>
      <protection locked="0"/>
    </xf>
    <xf numFmtId="0" fontId="100" fillId="2" borderId="0" xfId="2" applyNumberFormat="1" applyFont="1" applyFill="1" applyBorder="1" applyAlignment="1" applyProtection="1">
      <alignment horizontal="left" vertical="top"/>
      <protection locked="0"/>
    </xf>
    <xf numFmtId="3" fontId="40" fillId="70" borderId="106" xfId="2" applyNumberFormat="1" applyFont="1" applyFill="1" applyBorder="1" applyAlignment="1" applyProtection="1">
      <alignment horizontal="center" vertical="center" wrapText="1"/>
      <protection locked="0"/>
    </xf>
    <xf numFmtId="0" fontId="9" fillId="0" borderId="109" xfId="2" applyNumberFormat="1" applyFont="1" applyFill="1" applyBorder="1" applyAlignment="1" applyProtection="1">
      <alignment horizontal="center" vertical="center" wrapText="1"/>
      <protection locked="0"/>
    </xf>
    <xf numFmtId="0" fontId="12" fillId="0" borderId="106" xfId="2" applyNumberFormat="1" applyFont="1" applyFill="1" applyBorder="1" applyAlignment="1" applyProtection="1">
      <alignment horizontal="left" vertical="center" wrapText="1"/>
      <protection locked="0"/>
    </xf>
    <xf numFmtId="0" fontId="12" fillId="0" borderId="106" xfId="2" applyNumberFormat="1" applyFont="1" applyFill="1" applyBorder="1" applyAlignment="1" applyProtection="1">
      <alignment horizontal="center" vertical="center" wrapText="1"/>
      <protection locked="0"/>
    </xf>
    <xf numFmtId="0" fontId="13" fillId="0" borderId="106" xfId="2" applyNumberFormat="1" applyFont="1" applyFill="1" applyBorder="1" applyAlignment="1" applyProtection="1">
      <alignment horizontal="center" vertical="center" wrapText="1"/>
      <protection locked="0"/>
    </xf>
    <xf numFmtId="0" fontId="12" fillId="0" borderId="106" xfId="8" applyNumberFormat="1" applyFont="1" applyFill="1" applyBorder="1" applyAlignment="1" applyProtection="1">
      <alignment horizontal="center" vertical="center" wrapText="1"/>
      <protection locked="0"/>
    </xf>
    <xf numFmtId="1" fontId="12" fillId="0" borderId="106" xfId="8" applyNumberFormat="1" applyFont="1" applyFill="1" applyBorder="1" applyAlignment="1" applyProtection="1">
      <alignment horizontal="center" vertical="center" wrapText="1"/>
      <protection locked="0"/>
    </xf>
    <xf numFmtId="0" fontId="12" fillId="0" borderId="106" xfId="0" applyNumberFormat="1" applyFont="1" applyFill="1" applyBorder="1" applyAlignment="1">
      <alignment horizontal="center" vertical="center" wrapText="1"/>
    </xf>
    <xf numFmtId="0" fontId="10" fillId="0" borderId="106" xfId="8" applyNumberFormat="1" applyFont="1" applyFill="1" applyBorder="1" applyAlignment="1" applyProtection="1">
      <alignment horizontal="center" vertical="center" wrapText="1"/>
      <protection locked="0"/>
    </xf>
    <xf numFmtId="1" fontId="38" fillId="0" borderId="106" xfId="2" applyNumberFormat="1" applyFont="1" applyFill="1" applyBorder="1" applyAlignment="1" applyProtection="1">
      <alignment horizontal="center" vertical="center" wrapText="1"/>
      <protection locked="0"/>
    </xf>
    <xf numFmtId="0" fontId="9" fillId="0" borderId="106" xfId="2" applyNumberFormat="1" applyFont="1" applyFill="1" applyBorder="1" applyAlignment="1" applyProtection="1">
      <alignment horizontal="left" vertical="center" wrapText="1"/>
      <protection locked="0"/>
    </xf>
    <xf numFmtId="0" fontId="38" fillId="0" borderId="106" xfId="8" applyNumberFormat="1" applyFont="1" applyFill="1" applyBorder="1" applyAlignment="1" applyProtection="1">
      <alignment horizontal="center" vertical="center" wrapText="1"/>
      <protection locked="0"/>
    </xf>
    <xf numFmtId="1" fontId="38" fillId="0" borderId="106" xfId="8" applyNumberFormat="1" applyFont="1" applyFill="1" applyBorder="1" applyAlignment="1" applyProtection="1">
      <alignment horizontal="center" vertical="center" wrapText="1"/>
      <protection locked="0"/>
    </xf>
    <xf numFmtId="2" fontId="9" fillId="0" borderId="106" xfId="4" applyNumberFormat="1" applyFont="1" applyFill="1" applyBorder="1" applyAlignment="1" applyProtection="1">
      <alignment horizontal="center" vertical="center" wrapText="1"/>
      <protection locked="0"/>
    </xf>
    <xf numFmtId="2" fontId="9" fillId="0" borderId="106" xfId="2" applyNumberFormat="1" applyFont="1" applyFill="1" applyBorder="1" applyAlignment="1" applyProtection="1">
      <alignment horizontal="center" vertical="center" wrapText="1"/>
      <protection locked="0"/>
    </xf>
    <xf numFmtId="2" fontId="12" fillId="0" borderId="106" xfId="4" applyNumberFormat="1" applyFont="1" applyFill="1" applyBorder="1" applyAlignment="1" applyProtection="1">
      <alignment horizontal="center" vertical="center" wrapText="1"/>
      <protection locked="0"/>
    </xf>
    <xf numFmtId="166" fontId="12" fillId="0" borderId="106" xfId="4" applyNumberFormat="1" applyFont="1" applyFill="1" applyBorder="1" applyAlignment="1" applyProtection="1">
      <alignment horizontal="center" vertical="center" wrapText="1"/>
      <protection locked="0"/>
    </xf>
    <xf numFmtId="2" fontId="12" fillId="0" borderId="107" xfId="4" applyNumberFormat="1" applyFont="1" applyFill="1" applyBorder="1" applyAlignment="1" applyProtection="1">
      <alignment horizontal="center" vertical="center" wrapText="1"/>
      <protection locked="0"/>
    </xf>
    <xf numFmtId="2" fontId="12" fillId="0" borderId="106" xfId="0" applyNumberFormat="1" applyFont="1" applyFill="1" applyBorder="1" applyAlignment="1">
      <alignment horizontal="center" vertical="center" wrapText="1"/>
    </xf>
    <xf numFmtId="0" fontId="27" fillId="10" borderId="106" xfId="0" applyNumberFormat="1" applyFont="1" applyFill="1" applyBorder="1" applyAlignment="1">
      <alignment horizontal="left" vertical="center" wrapText="1"/>
    </xf>
    <xf numFmtId="0" fontId="27" fillId="10" borderId="106" xfId="0" applyNumberFormat="1" applyFont="1" applyFill="1" applyBorder="1" applyAlignment="1">
      <alignment horizontal="center" vertical="center" wrapText="1"/>
    </xf>
    <xf numFmtId="167" fontId="38" fillId="10" borderId="106" xfId="4" applyNumberFormat="1" applyFont="1" applyFill="1" applyBorder="1" applyAlignment="1" applyProtection="1">
      <alignment horizontal="center" vertical="center" wrapText="1"/>
      <protection locked="0"/>
    </xf>
    <xf numFmtId="10" fontId="38" fillId="10" borderId="106" xfId="1" applyNumberFormat="1" applyFont="1" applyFill="1" applyBorder="1" applyAlignment="1" applyProtection="1">
      <alignment horizontal="center" vertical="center" wrapText="1"/>
      <protection locked="0"/>
    </xf>
    <xf numFmtId="10" fontId="9" fillId="10" borderId="106" xfId="1" applyNumberFormat="1" applyFont="1" applyFill="1" applyBorder="1" applyAlignment="1" applyProtection="1">
      <alignment horizontal="center" vertical="center" wrapText="1"/>
      <protection locked="0"/>
    </xf>
    <xf numFmtId="0" fontId="36" fillId="0" borderId="106" xfId="0" applyFont="1" applyFill="1" applyBorder="1" applyAlignment="1">
      <alignment horizontal="center" vertical="center" wrapText="1"/>
    </xf>
    <xf numFmtId="1" fontId="12" fillId="0" borderId="106" xfId="0" applyNumberFormat="1" applyFont="1" applyFill="1" applyBorder="1" applyAlignment="1">
      <alignment horizontal="center" vertical="center" wrapText="1"/>
    </xf>
    <xf numFmtId="0" fontId="26" fillId="0" borderId="106" xfId="0" applyFont="1" applyFill="1" applyBorder="1" applyAlignment="1">
      <alignment horizontal="center" vertical="center" wrapText="1"/>
    </xf>
    <xf numFmtId="1" fontId="12" fillId="0" borderId="109" xfId="0" applyNumberFormat="1" applyFont="1" applyFill="1" applyBorder="1" applyAlignment="1">
      <alignment horizontal="center" vertical="center" wrapText="1"/>
    </xf>
    <xf numFmtId="0" fontId="12" fillId="0" borderId="109" xfId="2" applyNumberFormat="1" applyFont="1" applyFill="1" applyBorder="1" applyAlignment="1" applyProtection="1">
      <alignment horizontal="left" vertical="center" wrapText="1"/>
      <protection locked="0"/>
    </xf>
    <xf numFmtId="0" fontId="35" fillId="0" borderId="106" xfId="2" applyFont="1" applyFill="1" applyBorder="1" applyAlignment="1" applyProtection="1">
      <alignment horizontal="center" vertical="center" wrapText="1"/>
      <protection locked="0"/>
    </xf>
    <xf numFmtId="0" fontId="12" fillId="0" borderId="106" xfId="2" applyFont="1" applyFill="1" applyBorder="1" applyAlignment="1" applyProtection="1">
      <alignment horizontal="center" vertical="center" wrapText="1"/>
      <protection locked="0"/>
    </xf>
    <xf numFmtId="0" fontId="9" fillId="0" borderId="109" xfId="2" applyFont="1" applyFill="1" applyBorder="1" applyAlignment="1" applyProtection="1">
      <alignment horizontal="center" vertical="center" wrapText="1"/>
      <protection locked="0"/>
    </xf>
    <xf numFmtId="0" fontId="24" fillId="0" borderId="106" xfId="0" applyFont="1" applyFill="1" applyBorder="1" applyAlignment="1">
      <alignment vertical="center" wrapText="1"/>
    </xf>
    <xf numFmtId="0" fontId="12" fillId="0" borderId="106" xfId="8" applyFont="1" applyFill="1" applyBorder="1" applyAlignment="1" applyProtection="1">
      <alignment horizontal="center" vertical="center" wrapText="1"/>
      <protection locked="0"/>
    </xf>
    <xf numFmtId="0" fontId="79" fillId="0" borderId="106" xfId="0" applyNumberFormat="1" applyFont="1" applyFill="1" applyBorder="1" applyAlignment="1">
      <alignment horizontal="center" vertical="center" wrapText="1"/>
    </xf>
    <xf numFmtId="0" fontId="4" fillId="0" borderId="106"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76" fillId="2" borderId="106" xfId="2" applyNumberFormat="1" applyFont="1" applyFill="1" applyBorder="1" applyAlignment="1" applyProtection="1">
      <alignment horizontal="center" vertical="center" wrapText="1"/>
      <protection locked="0"/>
    </xf>
    <xf numFmtId="3" fontId="29" fillId="2" borderId="1" xfId="0" applyNumberFormat="1" applyFont="1" applyFill="1" applyBorder="1" applyAlignment="1">
      <alignment horizontal="center" vertical="center"/>
    </xf>
    <xf numFmtId="3" fontId="29" fillId="2" borderId="1" xfId="2" applyNumberFormat="1" applyFont="1" applyFill="1" applyBorder="1" applyAlignment="1" applyProtection="1">
      <alignment horizontal="center" vertical="top" wrapText="1"/>
      <protection locked="0"/>
    </xf>
    <xf numFmtId="3" fontId="23" fillId="2" borderId="1" xfId="0" applyNumberFormat="1" applyFont="1" applyFill="1" applyBorder="1" applyAlignment="1">
      <alignment horizontal="center" vertical="center"/>
    </xf>
    <xf numFmtId="3" fontId="12" fillId="2" borderId="1" xfId="2" applyNumberFormat="1" applyFont="1" applyFill="1" applyBorder="1" applyAlignment="1" applyProtection="1">
      <alignment horizontal="center" vertical="top" wrapText="1"/>
      <protection locked="0"/>
    </xf>
    <xf numFmtId="10" fontId="9" fillId="11" borderId="1" xfId="2" applyNumberFormat="1" applyFont="1" applyFill="1" applyBorder="1" applyAlignment="1">
      <alignment vertical="top" wrapText="1"/>
    </xf>
    <xf numFmtId="0" fontId="108" fillId="2" borderId="106" xfId="2" applyNumberFormat="1" applyFont="1" applyFill="1" applyBorder="1" applyAlignment="1" applyProtection="1">
      <alignment horizontal="left" vertical="center" wrapText="1"/>
      <protection locked="0"/>
    </xf>
    <xf numFmtId="0" fontId="128" fillId="2" borderId="106" xfId="2" applyNumberFormat="1" applyFont="1" applyFill="1" applyBorder="1" applyAlignment="1" applyProtection="1">
      <alignment horizontal="center" vertical="center" wrapText="1"/>
      <protection locked="0"/>
    </xf>
    <xf numFmtId="0" fontId="108" fillId="2" borderId="106" xfId="2" applyNumberFormat="1" applyFont="1" applyFill="1" applyBorder="1" applyAlignment="1" applyProtection="1">
      <alignment horizontal="center" vertical="center" wrapText="1"/>
      <protection locked="0"/>
    </xf>
    <xf numFmtId="0" fontId="108" fillId="2" borderId="106" xfId="0" applyNumberFormat="1" applyFont="1" applyFill="1" applyBorder="1" applyAlignment="1">
      <alignment horizontal="center" vertical="center" wrapText="1"/>
    </xf>
    <xf numFmtId="0" fontId="13" fillId="2" borderId="106" xfId="2" applyNumberFormat="1" applyFont="1" applyFill="1" applyBorder="1" applyAlignment="1" applyProtection="1">
      <alignment horizontal="center" vertical="center" wrapText="1"/>
      <protection locked="0"/>
    </xf>
    <xf numFmtId="1" fontId="12" fillId="2" borderId="106" xfId="2" applyNumberFormat="1" applyFont="1" applyFill="1" applyBorder="1" applyAlignment="1" applyProtection="1">
      <alignment horizontal="center" vertical="center" wrapText="1"/>
      <protection locked="0"/>
    </xf>
    <xf numFmtId="0" fontId="22" fillId="2" borderId="0" xfId="2" applyNumberFormat="1" applyFont="1" applyFill="1" applyAlignment="1" applyProtection="1">
      <alignment vertical="top" wrapText="1"/>
      <protection locked="0"/>
    </xf>
    <xf numFmtId="0" fontId="40" fillId="2" borderId="109" xfId="2" applyNumberFormat="1" applyFont="1" applyFill="1" applyBorder="1" applyAlignment="1" applyProtection="1">
      <alignment horizontal="left" vertical="center" wrapText="1"/>
      <protection locked="0"/>
    </xf>
    <xf numFmtId="0" fontId="12" fillId="2" borderId="106" xfId="2" applyNumberFormat="1" applyFont="1" applyFill="1" applyBorder="1" applyAlignment="1" applyProtection="1">
      <alignment horizontal="left" vertical="center"/>
      <protection locked="0"/>
    </xf>
    <xf numFmtId="1" fontId="29" fillId="2" borderId="1" xfId="2" applyNumberFormat="1" applyFont="1" applyFill="1" applyBorder="1" applyAlignment="1" applyProtection="1">
      <alignment horizontal="center" vertical="top" wrapText="1"/>
      <protection locked="0"/>
    </xf>
    <xf numFmtId="10" fontId="46" fillId="11" borderId="18" xfId="0" applyNumberFormat="1" applyFont="1" applyFill="1" applyBorder="1"/>
    <xf numFmtId="0" fontId="110" fillId="11" borderId="15" xfId="0" applyFont="1" applyFill="1" applyBorder="1" applyAlignment="1">
      <alignment horizontal="left" vertical="center" wrapText="1"/>
    </xf>
    <xf numFmtId="168" fontId="42" fillId="2" borderId="6" xfId="0" applyNumberFormat="1" applyFont="1" applyFill="1" applyBorder="1" applyAlignment="1">
      <alignment horizontal="right"/>
    </xf>
    <xf numFmtId="0" fontId="0" fillId="0" borderId="0" xfId="0" applyBorder="1" applyAlignment="1">
      <alignment vertical="center"/>
    </xf>
    <xf numFmtId="4" fontId="129" fillId="2" borderId="1" xfId="0" applyNumberFormat="1" applyFont="1" applyFill="1" applyBorder="1" applyAlignment="1">
      <alignment horizontal="center" vertical="center"/>
    </xf>
    <xf numFmtId="165" fontId="129" fillId="2" borderId="1" xfId="2" applyNumberFormat="1" applyFont="1" applyFill="1" applyBorder="1" applyAlignment="1" applyProtection="1">
      <alignment horizontal="center" vertical="center" wrapText="1"/>
      <protection locked="0"/>
    </xf>
    <xf numFmtId="4" fontId="0" fillId="0" borderId="1" xfId="87" applyNumberFormat="1" applyFont="1" applyBorder="1" applyAlignment="1">
      <alignment horizontal="center" vertical="center" wrapText="1"/>
    </xf>
    <xf numFmtId="4" fontId="23" fillId="37" borderId="1" xfId="0" applyNumberFormat="1" applyFont="1" applyFill="1" applyBorder="1" applyAlignment="1">
      <alignment horizontal="center" vertical="center"/>
    </xf>
    <xf numFmtId="1" fontId="9" fillId="2" borderId="107" xfId="4" applyNumberFormat="1" applyFont="1" applyFill="1" applyBorder="1" applyAlignment="1" applyProtection="1">
      <alignment horizontal="center" vertical="center" wrapText="1"/>
      <protection locked="0"/>
    </xf>
    <xf numFmtId="3" fontId="12" fillId="2" borderId="107" xfId="4" applyNumberFormat="1" applyFont="1" applyFill="1" applyBorder="1" applyAlignment="1" applyProtection="1">
      <alignment horizontal="center" vertical="center" wrapText="1"/>
      <protection locked="0"/>
    </xf>
    <xf numFmtId="3" fontId="12" fillId="2" borderId="106" xfId="4" applyNumberFormat="1" applyFont="1" applyFill="1" applyBorder="1" applyAlignment="1" applyProtection="1">
      <alignment horizontal="center" vertical="center" wrapText="1"/>
      <protection locked="0"/>
    </xf>
    <xf numFmtId="3" fontId="12" fillId="2" borderId="107" xfId="2" applyNumberFormat="1" applyFont="1" applyFill="1" applyBorder="1" applyAlignment="1" applyProtection="1">
      <alignment horizontal="center" vertical="center" wrapText="1"/>
      <protection locked="0"/>
    </xf>
    <xf numFmtId="0" fontId="29" fillId="2" borderId="106" xfId="2" applyNumberFormat="1" applyFont="1" applyFill="1" applyBorder="1" applyAlignment="1" applyProtection="1">
      <alignment horizontal="left" vertical="center" wrapText="1"/>
      <protection locked="0"/>
    </xf>
    <xf numFmtId="0" fontId="24" fillId="2" borderId="106" xfId="0" applyFont="1" applyFill="1" applyBorder="1" applyAlignment="1">
      <alignment vertical="top" wrapText="1"/>
    </xf>
    <xf numFmtId="0" fontId="12" fillId="2" borderId="106" xfId="2" applyFont="1" applyFill="1" applyBorder="1" applyAlignment="1" applyProtection="1">
      <alignment horizontal="center" vertical="top" wrapText="1"/>
      <protection locked="0"/>
    </xf>
    <xf numFmtId="0" fontId="9" fillId="2" borderId="106" xfId="2" applyFont="1" applyFill="1" applyBorder="1" applyAlignment="1" applyProtection="1">
      <alignment horizontal="center" vertical="top" wrapText="1"/>
      <protection locked="0"/>
    </xf>
    <xf numFmtId="3" fontId="12" fillId="2" borderId="107" xfId="87" applyNumberFormat="1" applyFont="1" applyFill="1" applyBorder="1" applyAlignment="1" applyProtection="1">
      <alignment horizontal="center" vertical="center" wrapText="1"/>
      <protection locked="0"/>
    </xf>
    <xf numFmtId="0" fontId="24" fillId="2" borderId="106" xfId="0" applyFont="1" applyFill="1" applyBorder="1" applyAlignment="1">
      <alignment horizontal="center" vertical="top" wrapText="1"/>
    </xf>
    <xf numFmtId="4" fontId="12" fillId="2" borderId="107" xfId="87" applyNumberFormat="1" applyFont="1" applyFill="1" applyBorder="1" applyAlignment="1" applyProtection="1">
      <alignment horizontal="center" vertical="center" wrapText="1"/>
      <protection locked="0"/>
    </xf>
    <xf numFmtId="0" fontId="108" fillId="70" borderId="106" xfId="2" applyNumberFormat="1" applyFont="1" applyFill="1" applyBorder="1" applyAlignment="1" applyProtection="1">
      <alignment horizontal="center" vertical="center" wrapText="1"/>
      <protection locked="0"/>
    </xf>
    <xf numFmtId="3" fontId="9" fillId="2" borderId="106" xfId="2" applyNumberFormat="1" applyFont="1" applyFill="1" applyBorder="1" applyAlignment="1" applyProtection="1">
      <alignment horizontal="center" vertical="top" wrapText="1"/>
      <protection locked="0"/>
    </xf>
    <xf numFmtId="0" fontId="11" fillId="70" borderId="106" xfId="2" applyNumberFormat="1" applyFont="1" applyFill="1" applyBorder="1" applyAlignment="1" applyProtection="1">
      <alignment horizontal="center" vertical="center" wrapText="1"/>
      <protection locked="0"/>
    </xf>
    <xf numFmtId="4" fontId="9" fillId="2" borderId="106" xfId="2" applyNumberFormat="1" applyFont="1" applyFill="1" applyBorder="1" applyAlignment="1" applyProtection="1">
      <alignment horizontal="center" vertical="top" wrapText="1"/>
      <protection locked="0"/>
    </xf>
    <xf numFmtId="167" fontId="38" fillId="2" borderId="106" xfId="2" applyNumberFormat="1" applyFont="1" applyFill="1" applyBorder="1" applyAlignment="1">
      <alignment horizontal="center" vertical="center"/>
    </xf>
    <xf numFmtId="4" fontId="9" fillId="2" borderId="106" xfId="2" applyNumberFormat="1" applyFont="1" applyFill="1" applyBorder="1" applyAlignment="1">
      <alignment horizontal="center" vertical="center"/>
    </xf>
    <xf numFmtId="10" fontId="9" fillId="2" borderId="106" xfId="2" applyNumberFormat="1" applyFont="1" applyFill="1" applyBorder="1" applyAlignment="1">
      <alignment horizontal="center" vertical="center"/>
    </xf>
    <xf numFmtId="10" fontId="9" fillId="0" borderId="106" xfId="2" applyNumberFormat="1" applyFont="1" applyFill="1" applyBorder="1" applyAlignment="1">
      <alignment horizontal="center" vertical="center"/>
    </xf>
    <xf numFmtId="167" fontId="9" fillId="0" borderId="106" xfId="2" applyNumberFormat="1" applyFont="1" applyFill="1" applyBorder="1" applyAlignment="1">
      <alignment horizontal="center" vertical="center"/>
    </xf>
    <xf numFmtId="177" fontId="9" fillId="2" borderId="106" xfId="2" applyNumberFormat="1" applyFont="1" applyFill="1" applyBorder="1" applyAlignment="1">
      <alignment horizontal="center" vertical="center"/>
    </xf>
    <xf numFmtId="175" fontId="12" fillId="2" borderId="106" xfId="0" applyNumberFormat="1" applyFont="1" applyFill="1" applyBorder="1" applyAlignment="1">
      <alignment horizontal="center" vertical="center" wrapText="1"/>
    </xf>
    <xf numFmtId="9" fontId="12" fillId="2" borderId="106" xfId="2" applyNumberFormat="1" applyFont="1" applyFill="1" applyBorder="1" applyAlignment="1">
      <alignment horizontal="center" vertical="center"/>
    </xf>
    <xf numFmtId="0" fontId="12" fillId="2" borderId="106" xfId="2" applyNumberFormat="1" applyFont="1" applyFill="1" applyBorder="1" applyAlignment="1">
      <alignment horizontal="center" vertical="center"/>
    </xf>
    <xf numFmtId="9" fontId="9" fillId="0" borderId="106" xfId="2" applyNumberFormat="1" applyFont="1" applyFill="1" applyBorder="1" applyAlignment="1">
      <alignment horizontal="center" vertical="center"/>
    </xf>
    <xf numFmtId="0" fontId="30" fillId="0" borderId="106" xfId="2" applyNumberFormat="1" applyFont="1" applyFill="1" applyBorder="1" applyAlignment="1">
      <alignment horizontal="center" vertical="center"/>
    </xf>
    <xf numFmtId="9" fontId="12" fillId="0" borderId="106" xfId="2" applyNumberFormat="1" applyFont="1" applyFill="1" applyBorder="1" applyAlignment="1">
      <alignment horizontal="center" vertical="center"/>
    </xf>
    <xf numFmtId="167" fontId="12" fillId="0" borderId="106" xfId="2" applyNumberFormat="1" applyFont="1" applyFill="1" applyBorder="1" applyAlignment="1">
      <alignment horizontal="center" vertical="center"/>
    </xf>
    <xf numFmtId="10" fontId="12" fillId="0" borderId="106" xfId="2" applyNumberFormat="1" applyFont="1" applyFill="1" applyBorder="1" applyAlignment="1">
      <alignment horizontal="center" vertical="center"/>
    </xf>
    <xf numFmtId="4" fontId="38" fillId="2" borderId="106" xfId="0" applyNumberFormat="1" applyFont="1" applyFill="1" applyBorder="1" applyAlignment="1">
      <alignment horizontal="center" vertical="center" wrapText="1"/>
    </xf>
    <xf numFmtId="0" fontId="0" fillId="0" borderId="135" xfId="0" applyBorder="1" applyAlignment="1">
      <alignment vertical="center"/>
    </xf>
    <xf numFmtId="0" fontId="9" fillId="0" borderId="14" xfId="2" applyNumberFormat="1" applyFont="1" applyFill="1" applyBorder="1" applyAlignment="1">
      <alignment vertical="center"/>
    </xf>
    <xf numFmtId="0" fontId="12" fillId="2" borderId="106" xfId="0" applyFont="1" applyFill="1" applyBorder="1" applyAlignment="1">
      <alignment vertical="center"/>
    </xf>
    <xf numFmtId="0" fontId="12" fillId="2" borderId="109" xfId="2" applyNumberFormat="1" applyFont="1" applyFill="1" applyBorder="1" applyAlignment="1">
      <alignment vertical="center" wrapText="1"/>
    </xf>
    <xf numFmtId="0" fontId="9" fillId="0" borderId="14" xfId="2" applyNumberFormat="1" applyFont="1" applyFill="1" applyBorder="1" applyAlignment="1">
      <alignment horizontal="left" vertical="center" wrapText="1"/>
    </xf>
    <xf numFmtId="0" fontId="12" fillId="2" borderId="109" xfId="2" applyNumberFormat="1" applyFont="1" applyFill="1" applyBorder="1" applyAlignment="1">
      <alignment horizontal="left" vertical="center" wrapText="1"/>
    </xf>
    <xf numFmtId="0" fontId="9" fillId="0" borderId="14" xfId="2" applyNumberFormat="1" applyFont="1" applyFill="1" applyBorder="1" applyAlignment="1">
      <alignment horizontal="left" vertical="center"/>
    </xf>
    <xf numFmtId="0" fontId="12" fillId="0" borderId="109" xfId="2" applyNumberFormat="1" applyFont="1" applyFill="1" applyBorder="1" applyAlignment="1">
      <alignment horizontal="left" vertical="center"/>
    </xf>
    <xf numFmtId="0" fontId="12" fillId="0" borderId="109" xfId="2" applyNumberFormat="1" applyFont="1" applyFill="1" applyBorder="1" applyAlignment="1">
      <alignment wrapText="1"/>
    </xf>
    <xf numFmtId="0" fontId="12" fillId="0" borderId="109" xfId="2" applyNumberFormat="1" applyFont="1" applyFill="1" applyBorder="1" applyAlignment="1">
      <alignment vertical="center" wrapText="1"/>
    </xf>
    <xf numFmtId="0" fontId="12" fillId="2" borderId="109" xfId="2" applyNumberFormat="1" applyFont="1" applyFill="1" applyBorder="1" applyAlignment="1">
      <alignment vertical="center"/>
    </xf>
    <xf numFmtId="0" fontId="9" fillId="0" borderId="15" xfId="2" applyNumberFormat="1" applyFont="1" applyFill="1" applyBorder="1" applyAlignment="1">
      <alignment vertical="center"/>
    </xf>
    <xf numFmtId="0" fontId="12" fillId="0" borderId="139" xfId="2" applyNumberFormat="1" applyFont="1" applyFill="1" applyBorder="1" applyAlignment="1">
      <alignment wrapText="1"/>
    </xf>
    <xf numFmtId="167" fontId="9" fillId="0" borderId="16" xfId="2" applyNumberFormat="1" applyFont="1" applyFill="1" applyBorder="1" applyAlignment="1">
      <alignment horizontal="center" vertical="center"/>
    </xf>
    <xf numFmtId="0" fontId="12" fillId="0" borderId="16" xfId="2" applyNumberFormat="1" applyFont="1" applyFill="1" applyBorder="1" applyAlignment="1">
      <alignment horizontal="center" vertical="center"/>
    </xf>
    <xf numFmtId="0" fontId="16" fillId="0" borderId="106" xfId="2" applyNumberFormat="1" applyFont="1" applyFill="1" applyBorder="1" applyAlignment="1" applyProtection="1">
      <alignment horizontal="center" vertical="center" wrapText="1"/>
      <protection locked="0"/>
    </xf>
    <xf numFmtId="0" fontId="11" fillId="6" borderId="106" xfId="2" applyNumberFormat="1" applyFont="1" applyFill="1" applyBorder="1" applyAlignment="1" applyProtection="1">
      <alignment horizontal="center" vertical="center" wrapText="1"/>
      <protection locked="0"/>
    </xf>
    <xf numFmtId="0" fontId="11" fillId="6" borderId="106" xfId="2" applyNumberFormat="1" applyFont="1" applyFill="1" applyBorder="1" applyAlignment="1" applyProtection="1">
      <alignment vertical="center" wrapText="1"/>
      <protection locked="0"/>
    </xf>
    <xf numFmtId="0" fontId="38" fillId="0" borderId="0" xfId="0" applyFont="1" applyAlignment="1">
      <alignment horizontal="left" vertical="center"/>
    </xf>
    <xf numFmtId="0" fontId="42" fillId="0" borderId="0" xfId="0" applyFont="1" applyAlignment="1">
      <alignment horizontal="left" vertical="center"/>
    </xf>
    <xf numFmtId="0" fontId="38" fillId="0" borderId="0" xfId="0" applyFont="1" applyAlignment="1">
      <alignment horizontal="left" vertical="center" wrapText="1"/>
    </xf>
    <xf numFmtId="0" fontId="42" fillId="0" borderId="0" xfId="0" applyFont="1" applyAlignment="1">
      <alignment horizontal="left" vertical="center" wrapText="1"/>
    </xf>
    <xf numFmtId="0" fontId="38" fillId="0" borderId="0" xfId="2" applyNumberFormat="1" applyFont="1" applyFill="1" applyBorder="1" applyAlignment="1">
      <alignment horizontal="left" vertical="center" wrapText="1"/>
    </xf>
    <xf numFmtId="0" fontId="11" fillId="6" borderId="14" xfId="2" applyNumberFormat="1" applyFont="1" applyFill="1" applyBorder="1" applyAlignment="1" applyProtection="1">
      <alignment horizontal="left" vertical="center" wrapText="1"/>
      <protection locked="0"/>
    </xf>
    <xf numFmtId="0" fontId="0" fillId="0" borderId="106" xfId="0" applyBorder="1" applyAlignment="1">
      <alignment horizontal="left" vertical="center"/>
    </xf>
    <xf numFmtId="0" fontId="11" fillId="6" borderId="106" xfId="2" applyNumberFormat="1" applyFont="1" applyFill="1" applyBorder="1" applyAlignment="1" applyProtection="1">
      <alignment horizontal="center" vertical="center" wrapText="1"/>
      <protection locked="0"/>
    </xf>
    <xf numFmtId="0" fontId="0" fillId="0" borderId="106" xfId="0" applyBorder="1" applyAlignment="1">
      <alignment horizontal="center" vertical="center"/>
    </xf>
    <xf numFmtId="0" fontId="46" fillId="0" borderId="106" xfId="0" applyFont="1" applyBorder="1" applyAlignment="1">
      <alignment horizontal="center" vertical="center"/>
    </xf>
    <xf numFmtId="0" fontId="11" fillId="6" borderId="106" xfId="2" applyNumberFormat="1" applyFont="1" applyFill="1" applyBorder="1" applyAlignment="1" applyProtection="1">
      <alignment vertical="center" wrapText="1"/>
      <protection locked="0"/>
    </xf>
    <xf numFmtId="0" fontId="0" fillId="0" borderId="106" xfId="0" applyBorder="1" applyAlignment="1">
      <alignment vertical="center"/>
    </xf>
    <xf numFmtId="0" fontId="11" fillId="6" borderId="14" xfId="2" applyNumberFormat="1" applyFont="1" applyFill="1" applyBorder="1" applyAlignment="1" applyProtection="1">
      <alignment vertical="center" wrapText="1"/>
      <protection locked="0"/>
    </xf>
    <xf numFmtId="0" fontId="16" fillId="0" borderId="136" xfId="2" applyNumberFormat="1" applyFont="1" applyFill="1" applyBorder="1" applyAlignment="1" applyProtection="1">
      <alignment horizontal="center" vertical="center" wrapText="1"/>
      <protection locked="0"/>
    </xf>
    <xf numFmtId="0" fontId="16" fillId="0" borderId="137" xfId="2" applyNumberFormat="1" applyFont="1" applyFill="1" applyBorder="1" applyAlignment="1" applyProtection="1">
      <alignment horizontal="center" vertical="center" wrapText="1"/>
      <protection locked="0"/>
    </xf>
    <xf numFmtId="0" fontId="16" fillId="0" borderId="138" xfId="2" applyNumberFormat="1" applyFont="1" applyFill="1" applyBorder="1" applyAlignment="1" applyProtection="1">
      <alignment horizontal="center" vertical="center" wrapText="1"/>
      <protection locked="0"/>
    </xf>
    <xf numFmtId="0" fontId="16" fillId="0" borderId="13" xfId="2" applyNumberFormat="1" applyFont="1" applyFill="1" applyBorder="1" applyAlignment="1" applyProtection="1">
      <alignment horizontal="center" vertical="center" wrapText="1"/>
      <protection locked="0"/>
    </xf>
    <xf numFmtId="0" fontId="5" fillId="0" borderId="0" xfId="2" applyNumberFormat="1" applyFont="1" applyFill="1" applyAlignment="1" applyProtection="1">
      <alignment vertical="top" wrapText="1"/>
      <protection locked="0"/>
    </xf>
    <xf numFmtId="0" fontId="17" fillId="0" borderId="135" xfId="2" applyNumberFormat="1" applyFont="1" applyFill="1" applyBorder="1" applyAlignment="1" applyProtection="1">
      <alignment vertical="center"/>
      <protection locked="0"/>
    </xf>
    <xf numFmtId="0" fontId="0" fillId="0" borderId="0" xfId="0" applyBorder="1" applyAlignment="1">
      <alignment vertical="center"/>
    </xf>
    <xf numFmtId="0" fontId="0" fillId="0" borderId="135" xfId="0" applyBorder="1" applyAlignment="1">
      <alignment vertical="center"/>
    </xf>
    <xf numFmtId="0" fontId="38" fillId="0" borderId="7" xfId="2" applyNumberFormat="1" applyFont="1" applyFill="1" applyBorder="1" applyAlignment="1" applyProtection="1">
      <alignment horizontal="center"/>
      <protection locked="0"/>
    </xf>
    <xf numFmtId="0" fontId="38" fillId="2" borderId="2" xfId="2" applyNumberFormat="1" applyFont="1" applyFill="1" applyBorder="1" applyAlignment="1" applyProtection="1">
      <alignment horizontal="left" vertical="center" wrapText="1"/>
      <protection locked="0"/>
    </xf>
    <xf numFmtId="0" fontId="38" fillId="2" borderId="6" xfId="2" applyNumberFormat="1" applyFont="1" applyFill="1" applyBorder="1" applyAlignment="1" applyProtection="1">
      <alignment horizontal="left" vertical="center" wrapText="1"/>
      <protection locked="0"/>
    </xf>
    <xf numFmtId="0" fontId="48" fillId="2" borderId="2" xfId="2" applyNumberFormat="1" applyFont="1" applyFill="1" applyBorder="1" applyAlignment="1" applyProtection="1">
      <alignment horizontal="center" vertical="center" wrapText="1"/>
      <protection locked="0"/>
    </xf>
    <xf numFmtId="0" fontId="48" fillId="2" borderId="6" xfId="2" applyNumberFormat="1" applyFont="1" applyFill="1" applyBorder="1" applyAlignment="1" applyProtection="1">
      <alignment horizontal="center" vertical="center" wrapText="1"/>
      <protection locked="0"/>
    </xf>
    <xf numFmtId="0" fontId="38" fillId="2" borderId="1" xfId="2" applyNumberFormat="1" applyFont="1" applyFill="1" applyBorder="1" applyAlignment="1" applyProtection="1">
      <alignment horizontal="center" vertical="top" wrapText="1"/>
      <protection locked="0"/>
    </xf>
    <xf numFmtId="0" fontId="42" fillId="0" borderId="10" xfId="2" applyNumberFormat="1" applyFont="1" applyFill="1" applyBorder="1" applyAlignment="1" applyProtection="1">
      <alignment horizontal="center" vertical="center" wrapText="1"/>
      <protection locked="0"/>
    </xf>
    <xf numFmtId="0" fontId="42" fillId="0" borderId="7" xfId="2" applyNumberFormat="1" applyFont="1" applyFill="1" applyBorder="1" applyAlignment="1" applyProtection="1">
      <alignment horizontal="center" vertical="center" wrapText="1"/>
      <protection locked="0"/>
    </xf>
    <xf numFmtId="0" fontId="13" fillId="0" borderId="2" xfId="2" applyNumberFormat="1" applyFont="1" applyFill="1" applyBorder="1" applyAlignment="1" applyProtection="1">
      <alignment horizontal="center" vertical="center" wrapText="1"/>
      <protection locked="0"/>
    </xf>
    <xf numFmtId="0" fontId="13" fillId="0" borderId="6" xfId="2" applyNumberFormat="1" applyFont="1" applyFill="1" applyBorder="1" applyAlignment="1" applyProtection="1">
      <alignment horizontal="center" vertical="center" wrapText="1"/>
      <protection locked="0"/>
    </xf>
    <xf numFmtId="0" fontId="40" fillId="2" borderId="2" xfId="2" applyNumberFormat="1" applyFont="1" applyFill="1" applyBorder="1" applyAlignment="1" applyProtection="1">
      <alignment horizontal="left" vertical="center"/>
      <protection locked="0"/>
    </xf>
    <xf numFmtId="0" fontId="40" fillId="2" borderId="6" xfId="2" applyNumberFormat="1" applyFont="1" applyFill="1" applyBorder="1" applyAlignment="1" applyProtection="1">
      <alignment horizontal="left" vertical="center"/>
      <protection locked="0"/>
    </xf>
    <xf numFmtId="0" fontId="38" fillId="0" borderId="0" xfId="2" applyNumberFormat="1" applyFont="1" applyFill="1" applyBorder="1" applyAlignment="1" applyProtection="1">
      <alignment horizontal="center"/>
      <protection locked="0"/>
    </xf>
    <xf numFmtId="0" fontId="38" fillId="2" borderId="21" xfId="2" applyNumberFormat="1" applyFont="1" applyFill="1" applyBorder="1" applyAlignment="1" applyProtection="1">
      <alignment horizontal="left" vertical="center" wrapText="1"/>
      <protection locked="0"/>
    </xf>
    <xf numFmtId="0" fontId="38" fillId="2" borderId="23" xfId="2" applyNumberFormat="1" applyFont="1" applyFill="1" applyBorder="1" applyAlignment="1" applyProtection="1">
      <alignment horizontal="left" vertical="center" wrapText="1"/>
      <protection locked="0"/>
    </xf>
    <xf numFmtId="0" fontId="38" fillId="2" borderId="10" xfId="2" applyNumberFormat="1" applyFont="1" applyFill="1" applyBorder="1" applyAlignment="1" applyProtection="1">
      <alignment horizontal="left" vertical="center" wrapText="1"/>
      <protection locked="0"/>
    </xf>
    <xf numFmtId="0" fontId="38" fillId="2" borderId="8" xfId="2" applyNumberFormat="1" applyFont="1" applyFill="1" applyBorder="1" applyAlignment="1" applyProtection="1">
      <alignment horizontal="left" vertical="center" wrapText="1"/>
      <protection locked="0"/>
    </xf>
    <xf numFmtId="0" fontId="47" fillId="6" borderId="3" xfId="2" applyNumberFormat="1" applyFont="1" applyFill="1" applyBorder="1" applyAlignment="1" applyProtection="1">
      <alignment horizontal="left" vertical="center" wrapText="1"/>
      <protection locked="0"/>
    </xf>
    <xf numFmtId="0" fontId="47" fillId="6" borderId="5" xfId="2" applyNumberFormat="1" applyFont="1" applyFill="1" applyBorder="1" applyAlignment="1" applyProtection="1">
      <alignment horizontal="left" vertical="center" wrapText="1"/>
      <protection locked="0"/>
    </xf>
    <xf numFmtId="0" fontId="38" fillId="2" borderId="22" xfId="2" applyNumberFormat="1" applyFont="1" applyFill="1" applyBorder="1" applyAlignment="1" applyProtection="1">
      <alignment horizontal="left" vertical="center" wrapText="1"/>
      <protection locked="0"/>
    </xf>
    <xf numFmtId="0" fontId="47" fillId="6" borderId="109" xfId="2" applyNumberFormat="1" applyFont="1" applyFill="1" applyBorder="1" applyAlignment="1" applyProtection="1">
      <alignment horizontal="center" vertical="center" wrapText="1"/>
      <protection locked="0"/>
    </xf>
    <xf numFmtId="0" fontId="47" fillId="6" borderId="110" xfId="2" applyNumberFormat="1" applyFont="1" applyFill="1" applyBorder="1" applyAlignment="1" applyProtection="1">
      <alignment horizontal="center" vertical="center" wrapText="1"/>
      <protection locked="0"/>
    </xf>
    <xf numFmtId="0" fontId="47" fillId="6" borderId="107" xfId="2" applyNumberFormat="1" applyFont="1" applyFill="1" applyBorder="1" applyAlignment="1" applyProtection="1">
      <alignment horizontal="center" vertical="center" wrapText="1"/>
      <protection locked="0"/>
    </xf>
    <xf numFmtId="0" fontId="48" fillId="0" borderId="109" xfId="2" applyNumberFormat="1" applyFont="1" applyFill="1" applyBorder="1" applyAlignment="1" applyProtection="1">
      <alignment horizontal="left" vertical="top" wrapText="1"/>
      <protection locked="0"/>
    </xf>
    <xf numFmtId="0" fontId="48" fillId="0" borderId="110" xfId="2" applyNumberFormat="1" applyFont="1" applyFill="1" applyBorder="1" applyAlignment="1" applyProtection="1">
      <alignment horizontal="left" vertical="top" wrapText="1"/>
      <protection locked="0"/>
    </xf>
    <xf numFmtId="0" fontId="42" fillId="0" borderId="110" xfId="0" applyFont="1" applyBorder="1" applyAlignment="1">
      <alignment vertical="top" wrapText="1"/>
    </xf>
    <xf numFmtId="0" fontId="42" fillId="0" borderId="107" xfId="0" applyFont="1" applyBorder="1" applyAlignment="1">
      <alignment vertical="top" wrapText="1"/>
    </xf>
    <xf numFmtId="0" fontId="42" fillId="0" borderId="110" xfId="0" applyFont="1" applyBorder="1"/>
    <xf numFmtId="0" fontId="42" fillId="0" borderId="107" xfId="0" applyFont="1" applyBorder="1"/>
    <xf numFmtId="0" fontId="38" fillId="0" borderId="96" xfId="2" applyNumberFormat="1" applyFont="1" applyFill="1" applyBorder="1" applyAlignment="1" applyProtection="1">
      <alignment horizontal="left" wrapText="1"/>
      <protection locked="0"/>
    </xf>
    <xf numFmtId="0" fontId="42" fillId="0" borderId="6" xfId="0" applyNumberFormat="1" applyFont="1" applyBorder="1" applyAlignment="1">
      <alignment horizontal="left" wrapText="1"/>
    </xf>
    <xf numFmtId="0" fontId="13" fillId="0" borderId="96" xfId="2" applyNumberFormat="1" applyFont="1" applyFill="1" applyBorder="1" applyAlignment="1" applyProtection="1">
      <alignment horizontal="center" vertical="center" wrapText="1"/>
      <protection locked="0"/>
    </xf>
    <xf numFmtId="0" fontId="43" fillId="5" borderId="109" xfId="2" applyNumberFormat="1" applyFont="1" applyFill="1" applyBorder="1" applyAlignment="1" applyProtection="1">
      <alignment horizontal="center" vertical="top" wrapText="1"/>
      <protection locked="0"/>
    </xf>
    <xf numFmtId="0" fontId="42" fillId="5" borderId="110" xfId="0" applyFont="1" applyFill="1" applyBorder="1" applyAlignment="1">
      <alignment vertical="top" wrapText="1"/>
    </xf>
    <xf numFmtId="0" fontId="42" fillId="5" borderId="107" xfId="0" applyFont="1" applyFill="1" applyBorder="1" applyAlignment="1">
      <alignment vertical="top" wrapText="1"/>
    </xf>
    <xf numFmtId="49" fontId="47" fillId="7" borderId="109" xfId="2" applyNumberFormat="1" applyFont="1" applyFill="1" applyBorder="1" applyAlignment="1" applyProtection="1">
      <alignment horizontal="left" vertical="center" wrapText="1"/>
      <protection locked="0"/>
    </xf>
    <xf numFmtId="49" fontId="47" fillId="7" borderId="110" xfId="2" applyNumberFormat="1" applyFont="1" applyFill="1" applyBorder="1" applyAlignment="1" applyProtection="1">
      <alignment horizontal="left" vertical="center" wrapText="1"/>
      <protection locked="0"/>
    </xf>
    <xf numFmtId="0" fontId="47" fillId="7" borderId="110" xfId="0" applyFont="1" applyFill="1" applyBorder="1" applyAlignment="1">
      <alignment horizontal="left" vertical="center" wrapText="1"/>
    </xf>
    <xf numFmtId="0" fontId="47" fillId="7" borderId="107" xfId="0" applyFont="1" applyFill="1" applyBorder="1" applyAlignment="1">
      <alignment horizontal="left" vertical="center" wrapText="1"/>
    </xf>
    <xf numFmtId="49" fontId="38" fillId="8" borderId="106" xfId="2" applyNumberFormat="1" applyFont="1" applyFill="1" applyBorder="1" applyAlignment="1" applyProtection="1">
      <alignment horizontal="left" vertical="top" wrapText="1"/>
      <protection locked="0"/>
    </xf>
    <xf numFmtId="0" fontId="42" fillId="8" borderId="106" xfId="0" applyFont="1" applyFill="1" applyBorder="1" applyAlignment="1">
      <alignment vertical="top" wrapText="1"/>
    </xf>
    <xf numFmtId="0" fontId="42" fillId="8" borderId="109" xfId="0" applyFont="1" applyFill="1" applyBorder="1" applyAlignment="1">
      <alignment vertical="top" wrapText="1"/>
    </xf>
    <xf numFmtId="49" fontId="38" fillId="2" borderId="106" xfId="2" applyNumberFormat="1" applyFont="1" applyFill="1" applyBorder="1" applyAlignment="1" applyProtection="1">
      <alignment horizontal="left" vertical="top" wrapText="1"/>
      <protection locked="0"/>
    </xf>
    <xf numFmtId="0" fontId="42" fillId="2" borderId="106" xfId="0" applyFont="1" applyFill="1" applyBorder="1" applyAlignment="1">
      <alignment vertical="top" wrapText="1"/>
    </xf>
    <xf numFmtId="0" fontId="42" fillId="2" borderId="109" xfId="0" applyFont="1" applyFill="1" applyBorder="1" applyAlignment="1">
      <alignment vertical="top" wrapText="1"/>
    </xf>
    <xf numFmtId="0" fontId="42" fillId="0" borderId="0" xfId="0" applyFont="1" applyBorder="1" applyAlignment="1">
      <alignment vertical="top" wrapText="1"/>
    </xf>
    <xf numFmtId="0" fontId="100" fillId="0" borderId="0" xfId="2" applyNumberFormat="1" applyFont="1" applyFill="1" applyBorder="1" applyAlignment="1" applyProtection="1">
      <alignment horizontal="left" vertical="top"/>
      <protection locked="0"/>
    </xf>
    <xf numFmtId="0" fontId="109" fillId="0" borderId="0" xfId="0" applyFont="1" applyBorder="1" applyAlignment="1">
      <alignment horizontal="left" vertical="top"/>
    </xf>
    <xf numFmtId="0" fontId="38" fillId="0" borderId="7" xfId="2" applyNumberFormat="1" applyFont="1" applyFill="1" applyBorder="1" applyAlignment="1" applyProtection="1">
      <alignment horizontal="center" vertical="center" wrapText="1"/>
      <protection locked="0"/>
    </xf>
    <xf numFmtId="0" fontId="38" fillId="2" borderId="108" xfId="2" applyNumberFormat="1" applyFont="1" applyFill="1" applyBorder="1" applyAlignment="1" applyProtection="1">
      <alignment horizontal="left" vertical="center" wrapText="1"/>
      <protection locked="0"/>
    </xf>
    <xf numFmtId="0" fontId="38" fillId="2" borderId="106" xfId="2" applyNumberFormat="1" applyFont="1" applyFill="1" applyBorder="1" applyAlignment="1" applyProtection="1">
      <alignment horizontal="center" vertical="center" wrapText="1"/>
      <protection locked="0"/>
    </xf>
    <xf numFmtId="0" fontId="7" fillId="0" borderId="0" xfId="2" applyNumberFormat="1" applyFont="1" applyFill="1" applyBorder="1" applyAlignment="1" applyProtection="1">
      <alignment horizontal="left" vertical="center" wrapText="1"/>
      <protection locked="0"/>
    </xf>
    <xf numFmtId="0" fontId="3" fillId="0" borderId="7" xfId="2" applyNumberFormat="1" applyFont="1" applyFill="1" applyBorder="1" applyAlignment="1" applyProtection="1">
      <alignment horizontal="center" vertical="center" wrapText="1"/>
      <protection locked="0"/>
    </xf>
    <xf numFmtId="0" fontId="23" fillId="5" borderId="109" xfId="2" applyNumberFormat="1" applyFont="1" applyFill="1" applyBorder="1" applyAlignment="1" applyProtection="1">
      <alignment horizontal="center" vertical="center" wrapText="1"/>
      <protection locked="0"/>
    </xf>
    <xf numFmtId="0" fontId="23" fillId="5" borderId="110" xfId="2" applyNumberFormat="1" applyFont="1" applyFill="1" applyBorder="1" applyAlignment="1" applyProtection="1">
      <alignment horizontal="center" vertical="center" wrapText="1"/>
      <protection locked="0"/>
    </xf>
    <xf numFmtId="49" fontId="11" fillId="7" borderId="106" xfId="2" applyNumberFormat="1" applyFont="1" applyFill="1" applyBorder="1" applyAlignment="1" applyProtection="1">
      <alignment horizontal="left" vertical="center" wrapText="1"/>
      <protection locked="0"/>
    </xf>
    <xf numFmtId="49" fontId="25" fillId="6" borderId="106" xfId="2" applyNumberFormat="1" applyFont="1" applyFill="1" applyBorder="1" applyAlignment="1" applyProtection="1">
      <alignment horizontal="left" vertical="center" wrapText="1"/>
      <protection locked="0"/>
    </xf>
    <xf numFmtId="49" fontId="11" fillId="6" borderId="106" xfId="2" applyNumberFormat="1" applyFont="1" applyFill="1" applyBorder="1" applyAlignment="1" applyProtection="1">
      <alignment horizontal="left" vertical="center" wrapText="1"/>
      <protection locked="0"/>
    </xf>
    <xf numFmtId="49" fontId="9" fillId="0" borderId="106" xfId="2" applyNumberFormat="1" applyFont="1" applyFill="1" applyBorder="1" applyAlignment="1" applyProtection="1">
      <alignment horizontal="left" vertical="center" wrapText="1"/>
      <protection locked="0"/>
    </xf>
    <xf numFmtId="0" fontId="24" fillId="0" borderId="106" xfId="0" applyFont="1" applyFill="1" applyBorder="1" applyAlignment="1">
      <alignment vertical="center" wrapText="1"/>
    </xf>
    <xf numFmtId="0" fontId="7" fillId="0" borderId="0" xfId="2" applyNumberFormat="1" applyFont="1" applyFill="1" applyBorder="1" applyAlignment="1" applyProtection="1">
      <alignment horizontal="left" vertical="center"/>
      <protection locked="0"/>
    </xf>
    <xf numFmtId="0" fontId="7" fillId="0" borderId="0" xfId="2" applyNumberFormat="1" applyFont="1" applyFill="1" applyBorder="1" applyAlignment="1" applyProtection="1">
      <alignment horizontal="left" vertical="top"/>
      <protection locked="0"/>
    </xf>
    <xf numFmtId="0" fontId="23" fillId="5" borderId="109" xfId="2" applyNumberFormat="1" applyFont="1" applyFill="1" applyBorder="1" applyAlignment="1" applyProtection="1">
      <alignment horizontal="center" vertical="top" wrapText="1"/>
      <protection locked="0"/>
    </xf>
    <xf numFmtId="0" fontId="23" fillId="5" borderId="110" xfId="2" applyNumberFormat="1" applyFont="1" applyFill="1" applyBorder="1" applyAlignment="1" applyProtection="1">
      <alignment horizontal="center" vertical="top" wrapText="1"/>
      <protection locked="0"/>
    </xf>
    <xf numFmtId="0" fontId="23" fillId="5" borderId="107" xfId="2" applyNumberFormat="1" applyFont="1" applyFill="1" applyBorder="1" applyAlignment="1" applyProtection="1">
      <alignment horizontal="center" vertical="top" wrapText="1"/>
      <protection locked="0"/>
    </xf>
    <xf numFmtId="49" fontId="9" fillId="2" borderId="106" xfId="2" applyNumberFormat="1" applyFont="1" applyFill="1" applyBorder="1" applyAlignment="1" applyProtection="1">
      <alignment horizontal="left" vertical="top" wrapText="1"/>
      <protection locked="0"/>
    </xf>
    <xf numFmtId="0" fontId="24" fillId="2" borderId="106" xfId="0" applyFont="1" applyFill="1" applyBorder="1" applyAlignment="1">
      <alignment vertical="top" wrapText="1"/>
    </xf>
    <xf numFmtId="0" fontId="23" fillId="5" borderId="1" xfId="2"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38" fillId="0" borderId="0" xfId="2" applyNumberFormat="1" applyFont="1" applyFill="1" applyBorder="1" applyAlignment="1" applyProtection="1">
      <alignment horizontal="center" vertical="center" wrapText="1"/>
      <protection locked="0"/>
    </xf>
    <xf numFmtId="0" fontId="23" fillId="5" borderId="3" xfId="2" applyNumberFormat="1" applyFont="1" applyFill="1" applyBorder="1" applyAlignment="1" applyProtection="1">
      <alignment horizontal="center" vertical="top" wrapText="1"/>
      <protection locked="0"/>
    </xf>
    <xf numFmtId="0" fontId="23" fillId="5" borderId="4" xfId="2" applyNumberFormat="1" applyFont="1" applyFill="1" applyBorder="1" applyAlignment="1" applyProtection="1">
      <alignment horizontal="center" vertical="top" wrapText="1"/>
      <protection locked="0"/>
    </xf>
    <xf numFmtId="0" fontId="3" fillId="0" borderId="0" xfId="2" applyNumberFormat="1" applyFont="1" applyFill="1" applyBorder="1" applyAlignment="1" applyProtection="1">
      <alignment horizontal="center" vertical="center" wrapText="1"/>
      <protection locked="0"/>
    </xf>
    <xf numFmtId="0" fontId="9" fillId="0" borderId="2" xfId="2" applyNumberFormat="1" applyFont="1" applyFill="1" applyBorder="1" applyAlignment="1" applyProtection="1">
      <alignment horizontal="left" wrapText="1"/>
      <protection locked="0"/>
    </xf>
    <xf numFmtId="0" fontId="9" fillId="0" borderId="6" xfId="2" applyNumberFormat="1" applyFont="1" applyFill="1" applyBorder="1" applyAlignment="1" applyProtection="1">
      <alignment horizontal="left" wrapText="1"/>
      <protection locked="0"/>
    </xf>
    <xf numFmtId="0" fontId="73" fillId="0" borderId="0" xfId="2" applyFont="1" applyFill="1" applyBorder="1" applyAlignment="1">
      <alignment horizontal="left" vertical="center" wrapText="1"/>
    </xf>
    <xf numFmtId="3" fontId="35" fillId="13" borderId="38" xfId="91" applyNumberFormat="1" applyFont="1" applyFill="1" applyBorder="1" applyAlignment="1" applyProtection="1">
      <alignment horizontal="center" vertical="center" wrapText="1"/>
    </xf>
    <xf numFmtId="2" fontId="58" fillId="0" borderId="58" xfId="92" applyNumberFormat="1" applyFont="1" applyFill="1" applyBorder="1" applyAlignment="1" applyProtection="1">
      <alignment horizontal="left" vertical="center" wrapText="1"/>
    </xf>
    <xf numFmtId="2" fontId="86" fillId="2" borderId="70" xfId="92" applyNumberFormat="1" applyFont="1" applyFill="1" applyBorder="1" applyAlignment="1" applyProtection="1">
      <alignment horizontal="left" vertical="center" wrapText="1"/>
    </xf>
    <xf numFmtId="2" fontId="86" fillId="2" borderId="69" xfId="92" applyNumberFormat="1" applyFont="1" applyFill="1" applyBorder="1" applyAlignment="1" applyProtection="1">
      <alignment horizontal="left" vertical="center" wrapText="1"/>
    </xf>
    <xf numFmtId="0" fontId="72" fillId="0" borderId="63" xfId="2" applyFont="1" applyFill="1" applyBorder="1" applyAlignment="1">
      <alignment horizontal="left" vertical="center" wrapText="1"/>
    </xf>
    <xf numFmtId="2" fontId="58" fillId="0" borderId="73" xfId="92" applyNumberFormat="1" applyFont="1" applyFill="1" applyBorder="1" applyAlignment="1" applyProtection="1">
      <alignment horizontal="left" vertical="center" wrapText="1"/>
    </xf>
    <xf numFmtId="172" fontId="55" fillId="26" borderId="59" xfId="89" applyNumberFormat="1" applyFont="1" applyFill="1" applyBorder="1" applyAlignment="1" applyProtection="1">
      <alignment horizontal="left" vertical="center" wrapText="1"/>
    </xf>
    <xf numFmtId="172" fontId="55" fillId="26" borderId="26" xfId="89" applyNumberFormat="1" applyFont="1" applyFill="1" applyBorder="1" applyAlignment="1" applyProtection="1">
      <alignment horizontal="left" vertical="center" wrapText="1"/>
    </xf>
    <xf numFmtId="2" fontId="58" fillId="0" borderId="56" xfId="92" applyNumberFormat="1" applyFont="1" applyFill="1" applyBorder="1" applyAlignment="1" applyProtection="1">
      <alignment horizontal="left" vertical="center" wrapText="1"/>
    </xf>
    <xf numFmtId="2" fontId="58" fillId="0" borderId="86" xfId="92" applyNumberFormat="1" applyFont="1" applyFill="1" applyBorder="1" applyAlignment="1" applyProtection="1">
      <alignment horizontal="center" vertical="center" wrapText="1"/>
    </xf>
    <xf numFmtId="2" fontId="58" fillId="0" borderId="120" xfId="92" applyNumberFormat="1" applyFont="1" applyFill="1" applyBorder="1" applyAlignment="1" applyProtection="1">
      <alignment horizontal="center" vertical="center" wrapText="1"/>
    </xf>
    <xf numFmtId="2" fontId="58" fillId="0" borderId="121" xfId="92" applyNumberFormat="1" applyFont="1" applyFill="1" applyBorder="1" applyAlignment="1" applyProtection="1">
      <alignment horizontal="center" vertical="center" wrapText="1"/>
    </xf>
    <xf numFmtId="2" fontId="86" fillId="2" borderId="70" xfId="92" applyNumberFormat="1" applyFont="1" applyFill="1" applyBorder="1" applyAlignment="1" applyProtection="1">
      <alignment horizontal="left" vertical="center" wrapText="1" indent="1"/>
    </xf>
    <xf numFmtId="2" fontId="86" fillId="2" borderId="69" xfId="92" applyNumberFormat="1" applyFont="1" applyFill="1" applyBorder="1" applyAlignment="1" applyProtection="1">
      <alignment horizontal="left" vertical="center" wrapText="1" indent="1"/>
    </xf>
    <xf numFmtId="0" fontId="107" fillId="0" borderId="63" xfId="2" applyFont="1" applyFill="1" applyBorder="1" applyAlignment="1">
      <alignment horizontal="left" vertical="center" wrapText="1"/>
    </xf>
    <xf numFmtId="172" fontId="55" fillId="27" borderId="58" xfId="89" applyNumberFormat="1" applyFont="1" applyFill="1" applyBorder="1" applyAlignment="1" applyProtection="1">
      <alignment horizontal="center" vertical="center" wrapText="1"/>
    </xf>
    <xf numFmtId="0" fontId="16" fillId="0" borderId="1" xfId="2" applyNumberFormat="1" applyFont="1" applyFill="1" applyBorder="1" applyAlignment="1" applyProtection="1">
      <alignment horizontal="center" vertical="center" wrapText="1"/>
      <protection locked="0"/>
    </xf>
    <xf numFmtId="0" fontId="16" fillId="0" borderId="3" xfId="2" applyNumberFormat="1" applyFont="1" applyFill="1" applyBorder="1" applyAlignment="1" applyProtection="1">
      <alignment horizontal="center" vertical="center" wrapText="1"/>
      <protection locked="0"/>
    </xf>
    <xf numFmtId="0" fontId="16" fillId="0" borderId="4" xfId="2" applyNumberFormat="1" applyFont="1" applyFill="1" applyBorder="1" applyAlignment="1" applyProtection="1">
      <alignment horizontal="center" vertical="center" wrapText="1"/>
      <protection locked="0"/>
    </xf>
    <xf numFmtId="0" fontId="16" fillId="0" borderId="5" xfId="2" applyNumberFormat="1" applyFont="1" applyFill="1" applyBorder="1" applyAlignment="1" applyProtection="1">
      <alignment horizontal="center" vertical="center" wrapText="1"/>
      <protection locked="0"/>
    </xf>
    <xf numFmtId="0" fontId="16" fillId="0" borderId="2" xfId="2" applyNumberFormat="1" applyFont="1" applyFill="1" applyBorder="1" applyAlignment="1" applyProtection="1">
      <alignment horizontal="center" vertical="center" wrapText="1"/>
      <protection locked="0"/>
    </xf>
    <xf numFmtId="0" fontId="16" fillId="0" borderId="6" xfId="2" applyNumberFormat="1" applyFont="1" applyFill="1" applyBorder="1" applyAlignment="1" applyProtection="1">
      <alignment horizontal="center" vertical="center" wrapText="1"/>
      <protection locked="0"/>
    </xf>
    <xf numFmtId="0" fontId="7" fillId="0" borderId="0" xfId="2" applyNumberFormat="1" applyFont="1" applyFill="1" applyBorder="1" applyAlignment="1" applyProtection="1">
      <alignment horizontal="left" vertical="top" wrapText="1"/>
      <protection locked="0"/>
    </xf>
    <xf numFmtId="0" fontId="9" fillId="0" borderId="7" xfId="2" applyNumberFormat="1" applyFont="1" applyFill="1" applyBorder="1" applyAlignment="1" applyProtection="1">
      <alignment horizontal="center" vertical="center" wrapText="1"/>
      <protection locked="0"/>
    </xf>
    <xf numFmtId="0" fontId="13" fillId="2" borderId="2" xfId="2" applyNumberFormat="1" applyFont="1" applyFill="1" applyBorder="1" applyAlignment="1" applyProtection="1">
      <alignment horizontal="center" vertical="center" wrapText="1"/>
      <protection locked="0"/>
    </xf>
    <xf numFmtId="0" fontId="13" fillId="2" borderId="6" xfId="2" applyNumberFormat="1" applyFont="1" applyFill="1" applyBorder="1" applyAlignment="1" applyProtection="1">
      <alignment horizontal="center" vertical="center" wrapText="1"/>
      <protection locked="0"/>
    </xf>
    <xf numFmtId="0" fontId="23" fillId="5" borderId="3" xfId="2" applyNumberFormat="1" applyFont="1" applyFill="1" applyBorder="1" applyAlignment="1" applyProtection="1">
      <alignment horizontal="center" vertical="center" wrapText="1"/>
      <protection locked="0"/>
    </xf>
    <xf numFmtId="0" fontId="23" fillId="5" borderId="4" xfId="2" applyNumberFormat="1" applyFont="1" applyFill="1" applyBorder="1" applyAlignment="1" applyProtection="1">
      <alignment horizontal="center" vertical="center" wrapText="1"/>
      <protection locked="0"/>
    </xf>
    <xf numFmtId="0" fontId="23" fillId="5" borderId="5" xfId="2" applyNumberFormat="1" applyFont="1" applyFill="1" applyBorder="1" applyAlignment="1" applyProtection="1">
      <alignment horizontal="center" vertical="center" wrapText="1"/>
      <protection locked="0"/>
    </xf>
  </cellXfs>
  <cellStyles count="169">
    <cellStyle name="20% - Accent1 2" xfId="119"/>
    <cellStyle name="20% - Accent2 2" xfId="123"/>
    <cellStyle name="20% - Accent3 2" xfId="127"/>
    <cellStyle name="20% - Accent4 2" xfId="131"/>
    <cellStyle name="20% - Accent5 2" xfId="135"/>
    <cellStyle name="20% - Accent6 2" xfId="139"/>
    <cellStyle name="20% - Έμφαση1 2" xfId="149"/>
    <cellStyle name="20% - Έμφαση2 2" xfId="151"/>
    <cellStyle name="20% - Έμφαση3 2" xfId="153"/>
    <cellStyle name="20% - Έμφαση4 2" xfId="155"/>
    <cellStyle name="20% - Έμφαση5 2" xfId="157"/>
    <cellStyle name="20% - Έμφαση6 2" xfId="159"/>
    <cellStyle name="40% - Accent1 2" xfId="120"/>
    <cellStyle name="40% - Accent2 2" xfId="124"/>
    <cellStyle name="40% - Accent3 2" xfId="128"/>
    <cellStyle name="40% - Accent4 2" xfId="132"/>
    <cellStyle name="40% - Accent5 2" xfId="136"/>
    <cellStyle name="40% - Accent6 2" xfId="140"/>
    <cellStyle name="40% - Έμφαση1 2" xfId="150"/>
    <cellStyle name="40% - Έμφαση2 2" xfId="152"/>
    <cellStyle name="40% - Έμφαση3 2" xfId="154"/>
    <cellStyle name="40% - Έμφαση4 2" xfId="156"/>
    <cellStyle name="40% - Έμφαση5 2" xfId="158"/>
    <cellStyle name="40% - Έμφαση6 2" xfId="160"/>
    <cellStyle name="60% - Accent1 2" xfId="121"/>
    <cellStyle name="60% - Accent2 2" xfId="125"/>
    <cellStyle name="60% - Accent3 2" xfId="129"/>
    <cellStyle name="60% - Accent4 2" xfId="133"/>
    <cellStyle name="60% - Accent5 2" xfId="137"/>
    <cellStyle name="60% - Accent6 2" xfId="141"/>
    <cellStyle name="Accent1 2" xfId="118"/>
    <cellStyle name="Accent2 2" xfId="122"/>
    <cellStyle name="Accent3 2" xfId="126"/>
    <cellStyle name="Accent4 2" xfId="130"/>
    <cellStyle name="Accent5 2" xfId="134"/>
    <cellStyle name="Accent6 2" xfId="138"/>
    <cellStyle name="Bad 2" xfId="108"/>
    <cellStyle name="Calculation 2" xfId="112"/>
    <cellStyle name="Check Cell 2" xfId="114"/>
    <cellStyle name="Comma 2" xfId="86"/>
    <cellStyle name="Comma 2 2" xfId="97"/>
    <cellStyle name="Comma 2 3" xfId="100"/>
    <cellStyle name="Comma 3" xfId="90"/>
    <cellStyle name="Comma 4" xfId="167"/>
    <cellStyle name="Excel Built-in Accent4" xfId="89"/>
    <cellStyle name="Explanatory Text 2" xfId="116"/>
    <cellStyle name="Good 2" xfId="107"/>
    <cellStyle name="Heading 1 2" xfId="103"/>
    <cellStyle name="Heading 2 2" xfId="104"/>
    <cellStyle name="Heading 3 2" xfId="105"/>
    <cellStyle name="Heading 4 2" xfId="106"/>
    <cellStyle name="Input 2" xfId="110"/>
    <cellStyle name="Linked Cell 2" xfId="113"/>
    <cellStyle name="Neutral 2" xfId="109"/>
    <cellStyle name="Normal 2" xfId="88"/>
    <cellStyle name="Output 2" xfId="111"/>
    <cellStyle name="Percent 2" xfId="93"/>
    <cellStyle name="Total 2" xfId="117"/>
    <cellStyle name="Warning Text 2" xfId="115"/>
    <cellStyle name="Βασικό_Φύλλο1" xfId="7"/>
    <cellStyle name="Κανονικό" xfId="0" builtinId="0"/>
    <cellStyle name="Κανονικό 17" xfId="6"/>
    <cellStyle name="Κανονικό 2" xfId="2"/>
    <cellStyle name="Κανονικό 2 10" xfId="8"/>
    <cellStyle name="Κανονικό 2 11" xfId="9"/>
    <cellStyle name="Κανονικό 2 12" xfId="10"/>
    <cellStyle name="Κανονικό 2 13" xfId="11"/>
    <cellStyle name="Κανονικό 2 14" xfId="12"/>
    <cellStyle name="Κανονικό 2 15" xfId="13"/>
    <cellStyle name="Κανονικό 2 16" xfId="14"/>
    <cellStyle name="Κανονικό 2 17" xfId="15"/>
    <cellStyle name="Κανονικό 2 18" xfId="16"/>
    <cellStyle name="Κανονικό 2 19" xfId="17"/>
    <cellStyle name="Κανονικό 2 2" xfId="18"/>
    <cellStyle name="Κανονικό 2 2 10" xfId="19"/>
    <cellStyle name="Κανονικό 2 2 11" xfId="20"/>
    <cellStyle name="Κανονικό 2 2 12" xfId="21"/>
    <cellStyle name="Κανονικό 2 2 13" xfId="22"/>
    <cellStyle name="Κανονικό 2 2 14" xfId="23"/>
    <cellStyle name="Κανονικό 2 2 15" xfId="24"/>
    <cellStyle name="Κανονικό 2 2 16" xfId="25"/>
    <cellStyle name="Κανονικό 2 2 17" xfId="26"/>
    <cellStyle name="Κανονικό 2 2 18" xfId="27"/>
    <cellStyle name="Κανονικό 2 2 19" xfId="28"/>
    <cellStyle name="Κανονικό 2 2 2" xfId="29"/>
    <cellStyle name="Κανονικό 2 2 20" xfId="30"/>
    <cellStyle name="Κανονικό 2 2 21" xfId="31"/>
    <cellStyle name="Κανονικό 2 2 22" xfId="32"/>
    <cellStyle name="Κανονικό 2 2 23" xfId="33"/>
    <cellStyle name="Κανονικό 2 2 24" xfId="34"/>
    <cellStyle name="Κανονικό 2 2 25" xfId="35"/>
    <cellStyle name="Κανονικό 2 2 26" xfId="36"/>
    <cellStyle name="Κανονικό 2 2 27" xfId="37"/>
    <cellStyle name="Κανονικό 2 2 28" xfId="38"/>
    <cellStyle name="Κανονικό 2 2 29" xfId="39"/>
    <cellStyle name="Κανονικό 2 2 3" xfId="40"/>
    <cellStyle name="Κανονικό 2 2 30" xfId="41"/>
    <cellStyle name="Κανονικό 2 2 31" xfId="42"/>
    <cellStyle name="Κανονικό 2 2 32" xfId="43"/>
    <cellStyle name="Κανονικό 2 2 33" xfId="44"/>
    <cellStyle name="Κανονικό 2 2 34" xfId="45"/>
    <cellStyle name="Κανονικό 2 2 35" xfId="46"/>
    <cellStyle name="Κανονικό 2 2 36" xfId="47"/>
    <cellStyle name="Κανονικό 2 2 37" xfId="48"/>
    <cellStyle name="Κανονικό 2 2 38" xfId="49"/>
    <cellStyle name="Κανονικό 2 2 39" xfId="50"/>
    <cellStyle name="Κανονικό 2 2 4" xfId="51"/>
    <cellStyle name="Κανονικό 2 2 40" xfId="52"/>
    <cellStyle name="Κανονικό 2 2 41" xfId="147"/>
    <cellStyle name="Κανονικό 2 2 5" xfId="53"/>
    <cellStyle name="Κανονικό 2 2 6" xfId="54"/>
    <cellStyle name="Κανονικό 2 2 7" xfId="55"/>
    <cellStyle name="Κανονικό 2 2 8" xfId="56"/>
    <cellStyle name="Κανονικό 2 2 9" xfId="57"/>
    <cellStyle name="Κανονικό 2 20" xfId="58"/>
    <cellStyle name="Κανονικό 2 21" xfId="59"/>
    <cellStyle name="Κανονικό 2 22" xfId="60"/>
    <cellStyle name="Κανονικό 2 23" xfId="61"/>
    <cellStyle name="Κανονικό 2 24" xfId="62"/>
    <cellStyle name="Κανονικό 2 25" xfId="63"/>
    <cellStyle name="Κανονικό 2 26" xfId="64"/>
    <cellStyle name="Κανονικό 2 27" xfId="65"/>
    <cellStyle name="Κανονικό 2 28" xfId="66"/>
    <cellStyle name="Κανονικό 2 29" xfId="67"/>
    <cellStyle name="Κανονικό 2 3" xfId="68"/>
    <cellStyle name="Κανονικό 2 30" xfId="69"/>
    <cellStyle name="Κανονικό 2 31" xfId="70"/>
    <cellStyle name="Κανονικό 2 32" xfId="71"/>
    <cellStyle name="Κανονικό 2 33" xfId="72"/>
    <cellStyle name="Κανονικό 2 34" xfId="73"/>
    <cellStyle name="Κανονικό 2 35" xfId="74"/>
    <cellStyle name="Κανονικό 2 36" xfId="75"/>
    <cellStyle name="Κανονικό 2 37" xfId="76"/>
    <cellStyle name="Κανονικό 2 38" xfId="77"/>
    <cellStyle name="Κανονικό 2 39" xfId="78"/>
    <cellStyle name="Κανονικό 2 4" xfId="79"/>
    <cellStyle name="Κανονικό 2 40" xfId="80"/>
    <cellStyle name="Κανονικό 2 41" xfId="145"/>
    <cellStyle name="Κανονικό 2 5" xfId="81"/>
    <cellStyle name="Κανονικό 2 6" xfId="82"/>
    <cellStyle name="Κανονικό 2 7" xfId="83"/>
    <cellStyle name="Κανονικό 2 8" xfId="84"/>
    <cellStyle name="Κανονικό 2 9" xfId="85"/>
    <cellStyle name="Κανονικό 3" xfId="5"/>
    <cellStyle name="Κανονικό 6" xfId="168"/>
    <cellStyle name="Κόμμα" xfId="87" builtinId="3"/>
    <cellStyle name="Κόμμα 2" xfId="3"/>
    <cellStyle name="Κόμμα 2 2" xfId="91"/>
    <cellStyle name="Κόμμα 2 2 2" xfId="166"/>
    <cellStyle name="Κόμμα 2 2 3" xfId="102"/>
    <cellStyle name="Κόμμα 2 3" xfId="98"/>
    <cellStyle name="Κόμμα 2 3 2" xfId="143"/>
    <cellStyle name="Κόμμα 2 4" xfId="161"/>
    <cellStyle name="Κόμμα 2 5" xfId="163"/>
    <cellStyle name="Κόμμα 2 6" xfId="164"/>
    <cellStyle name="Κόμμα 2 7" xfId="99"/>
    <cellStyle name="Κόμμα 3" xfId="95"/>
    <cellStyle name="Κόμμα 3 2" xfId="101"/>
    <cellStyle name="Κόμμα 4" xfId="96"/>
    <cellStyle name="Κόμμα 4 2" xfId="144"/>
    <cellStyle name="Κόμμα 5" xfId="162"/>
    <cellStyle name="Κόμμα 6" xfId="165"/>
    <cellStyle name="Νόμισμα 2 2" xfId="92"/>
    <cellStyle name="Ποσοστό" xfId="1" builtinId="5"/>
    <cellStyle name="Ποσοστό 2" xfId="4"/>
    <cellStyle name="Ποσοστό 3" xfId="94"/>
    <cellStyle name="Σημείωση 2" xfId="146"/>
    <cellStyle name="Σημείωση 3" xfId="148"/>
    <cellStyle name="Τίτλος 2" xfId="142"/>
  </cellStyles>
  <dxfs count="0"/>
  <tableStyles count="0" defaultTableStyle="TableStyleMedium9"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5.118\Users\user\AppData\Local\Microsoft\Windows\Temporary%20Internet%20Files\Content.IE5\W4J46X97\ATT000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Δείκτες Α Τμήματος ΚΑΡΑΚΩΣΤΑΣ"/>
      <sheetName val="Δείκτες Β Τμήματος ΗΛΙΟΠΟΥΛΟΥ"/>
      <sheetName val="Δείκτες Γ  Τμήματος ΜΥΤΑ"/>
      <sheetName val="Δείκτες Δ Τμήματος ΜΗΤΑ"/>
      <sheetName val="Δείκτες Ε Τμήματος ΔΗΜΟΠΟΥΛΟΥ"/>
      <sheetName val="Δείκτες ΣΤ Τμήματος ΜΠΟΥΡΝΟΥΣΟΥ"/>
      <sheetName val="Δείκτες Ζ Τμήματος ΓΙΑΝΝΟΠΟΥΛΟΥ"/>
      <sheetName val="Δείκτες Η Τμήματος ΖΗΣΙΜΟΥ"/>
      <sheetName val="Δείκτες Θ Τμήματος ΣΑΦΡΑ"/>
      <sheetName val="Δείκτες Ι Τμήματος ΚΑΚΑΛΗΣ"/>
      <sheetName val="Δείκτες ΙA Τμήματος "/>
      <sheetName val="Δείκτες Αυτοτελούς Τμήματος Α"/>
      <sheetName val="Δείκτες Αυτοτελούς Τμήματος B"/>
      <sheetName val="Δείκτες Αυτοτελούς Τμήματος Γ"/>
      <sheetName val="ΣΤΑΤΙΣΤΙΚΟ- ΔΕΙΚΤΕΣ"/>
      <sheetName val="tax adm απόλυτες τιμές"/>
      <sheetName val="Φύλλο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5">
          <cell r="G15">
            <v>25</v>
          </cell>
        </row>
        <row r="19">
          <cell r="G19">
            <v>8.8240590000000001</v>
          </cell>
        </row>
        <row r="36">
          <cell r="G36">
            <v>19.042600999999998</v>
          </cell>
        </row>
        <row r="37">
          <cell r="G37">
            <v>0.103919</v>
          </cell>
        </row>
      </sheetData>
      <sheetData sheetId="16"/>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C28"/>
  <sheetViews>
    <sheetView tabSelected="1" zoomScaleNormal="100" zoomScaleSheetLayoutView="100" workbookViewId="0">
      <selection activeCell="B8" sqref="B8"/>
    </sheetView>
  </sheetViews>
  <sheetFormatPr defaultRowHeight="14.25"/>
  <cols>
    <col min="1" max="1" width="6.140625" style="81" bestFit="1" customWidth="1"/>
    <col min="2" max="2" width="67.28515625" style="46" bestFit="1" customWidth="1"/>
    <col min="3" max="3" width="13.5703125" style="47" customWidth="1"/>
    <col min="4" max="4" width="14.42578125" style="46" customWidth="1"/>
    <col min="5" max="5" width="13.7109375" style="46" customWidth="1"/>
    <col min="6" max="6" width="13.85546875" style="46" customWidth="1"/>
    <col min="7" max="203" width="9.140625" style="46"/>
    <col min="204" max="204" width="82" style="46" customWidth="1"/>
    <col min="205" max="205" width="10.7109375" style="46" customWidth="1"/>
    <col min="206" max="206" width="8.5703125" style="46" customWidth="1"/>
    <col min="207" max="207" width="10.85546875" style="46" customWidth="1"/>
    <col min="208" max="208" width="8.85546875" style="46" customWidth="1"/>
    <col min="209" max="209" width="13.85546875" style="46" customWidth="1"/>
    <col min="210" max="210" width="11" style="46" customWidth="1"/>
    <col min="211" max="212" width="12.28515625" style="46" customWidth="1"/>
    <col min="213" max="213" width="6.42578125" style="46" customWidth="1"/>
    <col min="214" max="214" width="9.140625" style="46" customWidth="1"/>
    <col min="215" max="215" width="6.85546875" style="46" customWidth="1"/>
    <col min="216" max="216" width="10.42578125" style="46" customWidth="1"/>
    <col min="217" max="217" width="10" style="46" customWidth="1"/>
    <col min="218" max="218" width="6.7109375" style="46" bestFit="1" customWidth="1"/>
    <col min="219" max="219" width="9.140625" style="46" customWidth="1"/>
    <col min="220" max="459" width="9.140625" style="46"/>
    <col min="460" max="460" width="82" style="46" customWidth="1"/>
    <col min="461" max="461" width="10.7109375" style="46" customWidth="1"/>
    <col min="462" max="462" width="8.5703125" style="46" customWidth="1"/>
    <col min="463" max="463" width="10.85546875" style="46" customWidth="1"/>
    <col min="464" max="464" width="8.85546875" style="46" customWidth="1"/>
    <col min="465" max="465" width="13.85546875" style="46" customWidth="1"/>
    <col min="466" max="466" width="11" style="46" customWidth="1"/>
    <col min="467" max="468" width="12.28515625" style="46" customWidth="1"/>
    <col min="469" max="469" width="6.42578125" style="46" customWidth="1"/>
    <col min="470" max="470" width="9.140625" style="46" customWidth="1"/>
    <col min="471" max="471" width="6.85546875" style="46" customWidth="1"/>
    <col min="472" max="472" width="10.42578125" style="46" customWidth="1"/>
    <col min="473" max="473" width="10" style="46" customWidth="1"/>
    <col min="474" max="474" width="6.7109375" style="46" bestFit="1" customWidth="1"/>
    <col min="475" max="475" width="9.140625" style="46" customWidth="1"/>
    <col min="476" max="715" width="9.140625" style="46"/>
    <col min="716" max="716" width="82" style="46" customWidth="1"/>
    <col min="717" max="717" width="10.7109375" style="46" customWidth="1"/>
    <col min="718" max="718" width="8.5703125" style="46" customWidth="1"/>
    <col min="719" max="719" width="10.85546875" style="46" customWidth="1"/>
    <col min="720" max="720" width="8.85546875" style="46" customWidth="1"/>
    <col min="721" max="721" width="13.85546875" style="46" customWidth="1"/>
    <col min="722" max="722" width="11" style="46" customWidth="1"/>
    <col min="723" max="724" width="12.28515625" style="46" customWidth="1"/>
    <col min="725" max="725" width="6.42578125" style="46" customWidth="1"/>
    <col min="726" max="726" width="9.140625" style="46" customWidth="1"/>
    <col min="727" max="727" width="6.85546875" style="46" customWidth="1"/>
    <col min="728" max="728" width="10.42578125" style="46" customWidth="1"/>
    <col min="729" max="729" width="10" style="46" customWidth="1"/>
    <col min="730" max="730" width="6.7109375" style="46" bestFit="1" customWidth="1"/>
    <col min="731" max="731" width="9.140625" style="46" customWidth="1"/>
    <col min="732" max="971" width="9.140625" style="46"/>
    <col min="972" max="972" width="82" style="46" customWidth="1"/>
    <col min="973" max="973" width="10.7109375" style="46" customWidth="1"/>
    <col min="974" max="974" width="8.5703125" style="46" customWidth="1"/>
    <col min="975" max="975" width="10.85546875" style="46" customWidth="1"/>
    <col min="976" max="976" width="8.85546875" style="46" customWidth="1"/>
    <col min="977" max="977" width="13.85546875" style="46" customWidth="1"/>
    <col min="978" max="978" width="11" style="46" customWidth="1"/>
    <col min="979" max="980" width="12.28515625" style="46" customWidth="1"/>
    <col min="981" max="981" width="6.42578125" style="46" customWidth="1"/>
    <col min="982" max="982" width="9.140625" style="46" customWidth="1"/>
    <col min="983" max="983" width="6.85546875" style="46" customWidth="1"/>
    <col min="984" max="984" width="10.42578125" style="46" customWidth="1"/>
    <col min="985" max="985" width="10" style="46" customWidth="1"/>
    <col min="986" max="986" width="6.7109375" style="46" bestFit="1" customWidth="1"/>
    <col min="987" max="987" width="9.140625" style="46" customWidth="1"/>
    <col min="988" max="1227" width="9.140625" style="46"/>
    <col min="1228" max="1228" width="82" style="46" customWidth="1"/>
    <col min="1229" max="1229" width="10.7109375" style="46" customWidth="1"/>
    <col min="1230" max="1230" width="8.5703125" style="46" customWidth="1"/>
    <col min="1231" max="1231" width="10.85546875" style="46" customWidth="1"/>
    <col min="1232" max="1232" width="8.85546875" style="46" customWidth="1"/>
    <col min="1233" max="1233" width="13.85546875" style="46" customWidth="1"/>
    <col min="1234" max="1234" width="11" style="46" customWidth="1"/>
    <col min="1235" max="1236" width="12.28515625" style="46" customWidth="1"/>
    <col min="1237" max="1237" width="6.42578125" style="46" customWidth="1"/>
    <col min="1238" max="1238" width="9.140625" style="46" customWidth="1"/>
    <col min="1239" max="1239" width="6.85546875" style="46" customWidth="1"/>
    <col min="1240" max="1240" width="10.42578125" style="46" customWidth="1"/>
    <col min="1241" max="1241" width="10" style="46" customWidth="1"/>
    <col min="1242" max="1242" width="6.7109375" style="46" bestFit="1" customWidth="1"/>
    <col min="1243" max="1243" width="9.140625" style="46" customWidth="1"/>
    <col min="1244" max="1483" width="9.140625" style="46"/>
    <col min="1484" max="1484" width="82" style="46" customWidth="1"/>
    <col min="1485" max="1485" width="10.7109375" style="46" customWidth="1"/>
    <col min="1486" max="1486" width="8.5703125" style="46" customWidth="1"/>
    <col min="1487" max="1487" width="10.85546875" style="46" customWidth="1"/>
    <col min="1488" max="1488" width="8.85546875" style="46" customWidth="1"/>
    <col min="1489" max="1489" width="13.85546875" style="46" customWidth="1"/>
    <col min="1490" max="1490" width="11" style="46" customWidth="1"/>
    <col min="1491" max="1492" width="12.28515625" style="46" customWidth="1"/>
    <col min="1493" max="1493" width="6.42578125" style="46" customWidth="1"/>
    <col min="1494" max="1494" width="9.140625" style="46" customWidth="1"/>
    <col min="1495" max="1495" width="6.85546875" style="46" customWidth="1"/>
    <col min="1496" max="1496" width="10.42578125" style="46" customWidth="1"/>
    <col min="1497" max="1497" width="10" style="46" customWidth="1"/>
    <col min="1498" max="1498" width="6.7109375" style="46" bestFit="1" customWidth="1"/>
    <col min="1499" max="1499" width="9.140625" style="46" customWidth="1"/>
    <col min="1500" max="1739" width="9.140625" style="46"/>
    <col min="1740" max="1740" width="82" style="46" customWidth="1"/>
    <col min="1741" max="1741" width="10.7109375" style="46" customWidth="1"/>
    <col min="1742" max="1742" width="8.5703125" style="46" customWidth="1"/>
    <col min="1743" max="1743" width="10.85546875" style="46" customWidth="1"/>
    <col min="1744" max="1744" width="8.85546875" style="46" customWidth="1"/>
    <col min="1745" max="1745" width="13.85546875" style="46" customWidth="1"/>
    <col min="1746" max="1746" width="11" style="46" customWidth="1"/>
    <col min="1747" max="1748" width="12.28515625" style="46" customWidth="1"/>
    <col min="1749" max="1749" width="6.42578125" style="46" customWidth="1"/>
    <col min="1750" max="1750" width="9.140625" style="46" customWidth="1"/>
    <col min="1751" max="1751" width="6.85546875" style="46" customWidth="1"/>
    <col min="1752" max="1752" width="10.42578125" style="46" customWidth="1"/>
    <col min="1753" max="1753" width="10" style="46" customWidth="1"/>
    <col min="1754" max="1754" width="6.7109375" style="46" bestFit="1" customWidth="1"/>
    <col min="1755" max="1755" width="9.140625" style="46" customWidth="1"/>
    <col min="1756" max="1995" width="9.140625" style="46"/>
    <col min="1996" max="1996" width="82" style="46" customWidth="1"/>
    <col min="1997" max="1997" width="10.7109375" style="46" customWidth="1"/>
    <col min="1998" max="1998" width="8.5703125" style="46" customWidth="1"/>
    <col min="1999" max="1999" width="10.85546875" style="46" customWidth="1"/>
    <col min="2000" max="2000" width="8.85546875" style="46" customWidth="1"/>
    <col min="2001" max="2001" width="13.85546875" style="46" customWidth="1"/>
    <col min="2002" max="2002" width="11" style="46" customWidth="1"/>
    <col min="2003" max="2004" width="12.28515625" style="46" customWidth="1"/>
    <col min="2005" max="2005" width="6.42578125" style="46" customWidth="1"/>
    <col min="2006" max="2006" width="9.140625" style="46" customWidth="1"/>
    <col min="2007" max="2007" width="6.85546875" style="46" customWidth="1"/>
    <col min="2008" max="2008" width="10.42578125" style="46" customWidth="1"/>
    <col min="2009" max="2009" width="10" style="46" customWidth="1"/>
    <col min="2010" max="2010" width="6.7109375" style="46" bestFit="1" customWidth="1"/>
    <col min="2011" max="2011" width="9.140625" style="46" customWidth="1"/>
    <col min="2012" max="2251" width="9.140625" style="46"/>
    <col min="2252" max="2252" width="82" style="46" customWidth="1"/>
    <col min="2253" max="2253" width="10.7109375" style="46" customWidth="1"/>
    <col min="2254" max="2254" width="8.5703125" style="46" customWidth="1"/>
    <col min="2255" max="2255" width="10.85546875" style="46" customWidth="1"/>
    <col min="2256" max="2256" width="8.85546875" style="46" customWidth="1"/>
    <col min="2257" max="2257" width="13.85546875" style="46" customWidth="1"/>
    <col min="2258" max="2258" width="11" style="46" customWidth="1"/>
    <col min="2259" max="2260" width="12.28515625" style="46" customWidth="1"/>
    <col min="2261" max="2261" width="6.42578125" style="46" customWidth="1"/>
    <col min="2262" max="2262" width="9.140625" style="46" customWidth="1"/>
    <col min="2263" max="2263" width="6.85546875" style="46" customWidth="1"/>
    <col min="2264" max="2264" width="10.42578125" style="46" customWidth="1"/>
    <col min="2265" max="2265" width="10" style="46" customWidth="1"/>
    <col min="2266" max="2266" width="6.7109375" style="46" bestFit="1" customWidth="1"/>
    <col min="2267" max="2267" width="9.140625" style="46" customWidth="1"/>
    <col min="2268" max="2507" width="9.140625" style="46"/>
    <col min="2508" max="2508" width="82" style="46" customWidth="1"/>
    <col min="2509" max="2509" width="10.7109375" style="46" customWidth="1"/>
    <col min="2510" max="2510" width="8.5703125" style="46" customWidth="1"/>
    <col min="2511" max="2511" width="10.85546875" style="46" customWidth="1"/>
    <col min="2512" max="2512" width="8.85546875" style="46" customWidth="1"/>
    <col min="2513" max="2513" width="13.85546875" style="46" customWidth="1"/>
    <col min="2514" max="2514" width="11" style="46" customWidth="1"/>
    <col min="2515" max="2516" width="12.28515625" style="46" customWidth="1"/>
    <col min="2517" max="2517" width="6.42578125" style="46" customWidth="1"/>
    <col min="2518" max="2518" width="9.140625" style="46" customWidth="1"/>
    <col min="2519" max="2519" width="6.85546875" style="46" customWidth="1"/>
    <col min="2520" max="2520" width="10.42578125" style="46" customWidth="1"/>
    <col min="2521" max="2521" width="10" style="46" customWidth="1"/>
    <col min="2522" max="2522" width="6.7109375" style="46" bestFit="1" customWidth="1"/>
    <col min="2523" max="2523" width="9.140625" style="46" customWidth="1"/>
    <col min="2524" max="2763" width="9.140625" style="46"/>
    <col min="2764" max="2764" width="82" style="46" customWidth="1"/>
    <col min="2765" max="2765" width="10.7109375" style="46" customWidth="1"/>
    <col min="2766" max="2766" width="8.5703125" style="46" customWidth="1"/>
    <col min="2767" max="2767" width="10.85546875" style="46" customWidth="1"/>
    <col min="2768" max="2768" width="8.85546875" style="46" customWidth="1"/>
    <col min="2769" max="2769" width="13.85546875" style="46" customWidth="1"/>
    <col min="2770" max="2770" width="11" style="46" customWidth="1"/>
    <col min="2771" max="2772" width="12.28515625" style="46" customWidth="1"/>
    <col min="2773" max="2773" width="6.42578125" style="46" customWidth="1"/>
    <col min="2774" max="2774" width="9.140625" style="46" customWidth="1"/>
    <col min="2775" max="2775" width="6.85546875" style="46" customWidth="1"/>
    <col min="2776" max="2776" width="10.42578125" style="46" customWidth="1"/>
    <col min="2777" max="2777" width="10" style="46" customWidth="1"/>
    <col min="2778" max="2778" width="6.7109375" style="46" bestFit="1" customWidth="1"/>
    <col min="2779" max="2779" width="9.140625" style="46" customWidth="1"/>
    <col min="2780" max="3019" width="9.140625" style="46"/>
    <col min="3020" max="3020" width="82" style="46" customWidth="1"/>
    <col min="3021" max="3021" width="10.7109375" style="46" customWidth="1"/>
    <col min="3022" max="3022" width="8.5703125" style="46" customWidth="1"/>
    <col min="3023" max="3023" width="10.85546875" style="46" customWidth="1"/>
    <col min="3024" max="3024" width="8.85546875" style="46" customWidth="1"/>
    <col min="3025" max="3025" width="13.85546875" style="46" customWidth="1"/>
    <col min="3026" max="3026" width="11" style="46" customWidth="1"/>
    <col min="3027" max="3028" width="12.28515625" style="46" customWidth="1"/>
    <col min="3029" max="3029" width="6.42578125" style="46" customWidth="1"/>
    <col min="3030" max="3030" width="9.140625" style="46" customWidth="1"/>
    <col min="3031" max="3031" width="6.85546875" style="46" customWidth="1"/>
    <col min="3032" max="3032" width="10.42578125" style="46" customWidth="1"/>
    <col min="3033" max="3033" width="10" style="46" customWidth="1"/>
    <col min="3034" max="3034" width="6.7109375" style="46" bestFit="1" customWidth="1"/>
    <col min="3035" max="3035" width="9.140625" style="46" customWidth="1"/>
    <col min="3036" max="3275" width="9.140625" style="46"/>
    <col min="3276" max="3276" width="82" style="46" customWidth="1"/>
    <col min="3277" max="3277" width="10.7109375" style="46" customWidth="1"/>
    <col min="3278" max="3278" width="8.5703125" style="46" customWidth="1"/>
    <col min="3279" max="3279" width="10.85546875" style="46" customWidth="1"/>
    <col min="3280" max="3280" width="8.85546875" style="46" customWidth="1"/>
    <col min="3281" max="3281" width="13.85546875" style="46" customWidth="1"/>
    <col min="3282" max="3282" width="11" style="46" customWidth="1"/>
    <col min="3283" max="3284" width="12.28515625" style="46" customWidth="1"/>
    <col min="3285" max="3285" width="6.42578125" style="46" customWidth="1"/>
    <col min="3286" max="3286" width="9.140625" style="46" customWidth="1"/>
    <col min="3287" max="3287" width="6.85546875" style="46" customWidth="1"/>
    <col min="3288" max="3288" width="10.42578125" style="46" customWidth="1"/>
    <col min="3289" max="3289" width="10" style="46" customWidth="1"/>
    <col min="3290" max="3290" width="6.7109375" style="46" bestFit="1" customWidth="1"/>
    <col min="3291" max="3291" width="9.140625" style="46" customWidth="1"/>
    <col min="3292" max="3531" width="9.140625" style="46"/>
    <col min="3532" max="3532" width="82" style="46" customWidth="1"/>
    <col min="3533" max="3533" width="10.7109375" style="46" customWidth="1"/>
    <col min="3534" max="3534" width="8.5703125" style="46" customWidth="1"/>
    <col min="3535" max="3535" width="10.85546875" style="46" customWidth="1"/>
    <col min="3536" max="3536" width="8.85546875" style="46" customWidth="1"/>
    <col min="3537" max="3537" width="13.85546875" style="46" customWidth="1"/>
    <col min="3538" max="3538" width="11" style="46" customWidth="1"/>
    <col min="3539" max="3540" width="12.28515625" style="46" customWidth="1"/>
    <col min="3541" max="3541" width="6.42578125" style="46" customWidth="1"/>
    <col min="3542" max="3542" width="9.140625" style="46" customWidth="1"/>
    <col min="3543" max="3543" width="6.85546875" style="46" customWidth="1"/>
    <col min="3544" max="3544" width="10.42578125" style="46" customWidth="1"/>
    <col min="3545" max="3545" width="10" style="46" customWidth="1"/>
    <col min="3546" max="3546" width="6.7109375" style="46" bestFit="1" customWidth="1"/>
    <col min="3547" max="3547" width="9.140625" style="46" customWidth="1"/>
    <col min="3548" max="3787" width="9.140625" style="46"/>
    <col min="3788" max="3788" width="82" style="46" customWidth="1"/>
    <col min="3789" max="3789" width="10.7109375" style="46" customWidth="1"/>
    <col min="3790" max="3790" width="8.5703125" style="46" customWidth="1"/>
    <col min="3791" max="3791" width="10.85546875" style="46" customWidth="1"/>
    <col min="3792" max="3792" width="8.85546875" style="46" customWidth="1"/>
    <col min="3793" max="3793" width="13.85546875" style="46" customWidth="1"/>
    <col min="3794" max="3794" width="11" style="46" customWidth="1"/>
    <col min="3795" max="3796" width="12.28515625" style="46" customWidth="1"/>
    <col min="3797" max="3797" width="6.42578125" style="46" customWidth="1"/>
    <col min="3798" max="3798" width="9.140625" style="46" customWidth="1"/>
    <col min="3799" max="3799" width="6.85546875" style="46" customWidth="1"/>
    <col min="3800" max="3800" width="10.42578125" style="46" customWidth="1"/>
    <col min="3801" max="3801" width="10" style="46" customWidth="1"/>
    <col min="3802" max="3802" width="6.7109375" style="46" bestFit="1" customWidth="1"/>
    <col min="3803" max="3803" width="9.140625" style="46" customWidth="1"/>
    <col min="3804" max="4043" width="9.140625" style="46"/>
    <col min="4044" max="4044" width="82" style="46" customWidth="1"/>
    <col min="4045" max="4045" width="10.7109375" style="46" customWidth="1"/>
    <col min="4046" max="4046" width="8.5703125" style="46" customWidth="1"/>
    <col min="4047" max="4047" width="10.85546875" style="46" customWidth="1"/>
    <col min="4048" max="4048" width="8.85546875" style="46" customWidth="1"/>
    <col min="4049" max="4049" width="13.85546875" style="46" customWidth="1"/>
    <col min="4050" max="4050" width="11" style="46" customWidth="1"/>
    <col min="4051" max="4052" width="12.28515625" style="46" customWidth="1"/>
    <col min="4053" max="4053" width="6.42578125" style="46" customWidth="1"/>
    <col min="4054" max="4054" width="9.140625" style="46" customWidth="1"/>
    <col min="4055" max="4055" width="6.85546875" style="46" customWidth="1"/>
    <col min="4056" max="4056" width="10.42578125" style="46" customWidth="1"/>
    <col min="4057" max="4057" width="10" style="46" customWidth="1"/>
    <col min="4058" max="4058" width="6.7109375" style="46" bestFit="1" customWidth="1"/>
    <col min="4059" max="4059" width="9.140625" style="46" customWidth="1"/>
    <col min="4060" max="4299" width="9.140625" style="46"/>
    <col min="4300" max="4300" width="82" style="46" customWidth="1"/>
    <col min="4301" max="4301" width="10.7109375" style="46" customWidth="1"/>
    <col min="4302" max="4302" width="8.5703125" style="46" customWidth="1"/>
    <col min="4303" max="4303" width="10.85546875" style="46" customWidth="1"/>
    <col min="4304" max="4304" width="8.85546875" style="46" customWidth="1"/>
    <col min="4305" max="4305" width="13.85546875" style="46" customWidth="1"/>
    <col min="4306" max="4306" width="11" style="46" customWidth="1"/>
    <col min="4307" max="4308" width="12.28515625" style="46" customWidth="1"/>
    <col min="4309" max="4309" width="6.42578125" style="46" customWidth="1"/>
    <col min="4310" max="4310" width="9.140625" style="46" customWidth="1"/>
    <col min="4311" max="4311" width="6.85546875" style="46" customWidth="1"/>
    <col min="4312" max="4312" width="10.42578125" style="46" customWidth="1"/>
    <col min="4313" max="4313" width="10" style="46" customWidth="1"/>
    <col min="4314" max="4314" width="6.7109375" style="46" bestFit="1" customWidth="1"/>
    <col min="4315" max="4315" width="9.140625" style="46" customWidth="1"/>
    <col min="4316" max="4555" width="9.140625" style="46"/>
    <col min="4556" max="4556" width="82" style="46" customWidth="1"/>
    <col min="4557" max="4557" width="10.7109375" style="46" customWidth="1"/>
    <col min="4558" max="4558" width="8.5703125" style="46" customWidth="1"/>
    <col min="4559" max="4559" width="10.85546875" style="46" customWidth="1"/>
    <col min="4560" max="4560" width="8.85546875" style="46" customWidth="1"/>
    <col min="4561" max="4561" width="13.85546875" style="46" customWidth="1"/>
    <col min="4562" max="4562" width="11" style="46" customWidth="1"/>
    <col min="4563" max="4564" width="12.28515625" style="46" customWidth="1"/>
    <col min="4565" max="4565" width="6.42578125" style="46" customWidth="1"/>
    <col min="4566" max="4566" width="9.140625" style="46" customWidth="1"/>
    <col min="4567" max="4567" width="6.85546875" style="46" customWidth="1"/>
    <col min="4568" max="4568" width="10.42578125" style="46" customWidth="1"/>
    <col min="4569" max="4569" width="10" style="46" customWidth="1"/>
    <col min="4570" max="4570" width="6.7109375" style="46" bestFit="1" customWidth="1"/>
    <col min="4571" max="4571" width="9.140625" style="46" customWidth="1"/>
    <col min="4572" max="4811" width="9.140625" style="46"/>
    <col min="4812" max="4812" width="82" style="46" customWidth="1"/>
    <col min="4813" max="4813" width="10.7109375" style="46" customWidth="1"/>
    <col min="4814" max="4814" width="8.5703125" style="46" customWidth="1"/>
    <col min="4815" max="4815" width="10.85546875" style="46" customWidth="1"/>
    <col min="4816" max="4816" width="8.85546875" style="46" customWidth="1"/>
    <col min="4817" max="4817" width="13.85546875" style="46" customWidth="1"/>
    <col min="4818" max="4818" width="11" style="46" customWidth="1"/>
    <col min="4819" max="4820" width="12.28515625" style="46" customWidth="1"/>
    <col min="4821" max="4821" width="6.42578125" style="46" customWidth="1"/>
    <col min="4822" max="4822" width="9.140625" style="46" customWidth="1"/>
    <col min="4823" max="4823" width="6.85546875" style="46" customWidth="1"/>
    <col min="4824" max="4824" width="10.42578125" style="46" customWidth="1"/>
    <col min="4825" max="4825" width="10" style="46" customWidth="1"/>
    <col min="4826" max="4826" width="6.7109375" style="46" bestFit="1" customWidth="1"/>
    <col min="4827" max="4827" width="9.140625" style="46" customWidth="1"/>
    <col min="4828" max="5067" width="9.140625" style="46"/>
    <col min="5068" max="5068" width="82" style="46" customWidth="1"/>
    <col min="5069" max="5069" width="10.7109375" style="46" customWidth="1"/>
    <col min="5070" max="5070" width="8.5703125" style="46" customWidth="1"/>
    <col min="5071" max="5071" width="10.85546875" style="46" customWidth="1"/>
    <col min="5072" max="5072" width="8.85546875" style="46" customWidth="1"/>
    <col min="5073" max="5073" width="13.85546875" style="46" customWidth="1"/>
    <col min="5074" max="5074" width="11" style="46" customWidth="1"/>
    <col min="5075" max="5076" width="12.28515625" style="46" customWidth="1"/>
    <col min="5077" max="5077" width="6.42578125" style="46" customWidth="1"/>
    <col min="5078" max="5078" width="9.140625" style="46" customWidth="1"/>
    <col min="5079" max="5079" width="6.85546875" style="46" customWidth="1"/>
    <col min="5080" max="5080" width="10.42578125" style="46" customWidth="1"/>
    <col min="5081" max="5081" width="10" style="46" customWidth="1"/>
    <col min="5082" max="5082" width="6.7109375" style="46" bestFit="1" customWidth="1"/>
    <col min="5083" max="5083" width="9.140625" style="46" customWidth="1"/>
    <col min="5084" max="5323" width="9.140625" style="46"/>
    <col min="5324" max="5324" width="82" style="46" customWidth="1"/>
    <col min="5325" max="5325" width="10.7109375" style="46" customWidth="1"/>
    <col min="5326" max="5326" width="8.5703125" style="46" customWidth="1"/>
    <col min="5327" max="5327" width="10.85546875" style="46" customWidth="1"/>
    <col min="5328" max="5328" width="8.85546875" style="46" customWidth="1"/>
    <col min="5329" max="5329" width="13.85546875" style="46" customWidth="1"/>
    <col min="5330" max="5330" width="11" style="46" customWidth="1"/>
    <col min="5331" max="5332" width="12.28515625" style="46" customWidth="1"/>
    <col min="5333" max="5333" width="6.42578125" style="46" customWidth="1"/>
    <col min="5334" max="5334" width="9.140625" style="46" customWidth="1"/>
    <col min="5335" max="5335" width="6.85546875" style="46" customWidth="1"/>
    <col min="5336" max="5336" width="10.42578125" style="46" customWidth="1"/>
    <col min="5337" max="5337" width="10" style="46" customWidth="1"/>
    <col min="5338" max="5338" width="6.7109375" style="46" bestFit="1" customWidth="1"/>
    <col min="5339" max="5339" width="9.140625" style="46" customWidth="1"/>
    <col min="5340" max="5579" width="9.140625" style="46"/>
    <col min="5580" max="5580" width="82" style="46" customWidth="1"/>
    <col min="5581" max="5581" width="10.7109375" style="46" customWidth="1"/>
    <col min="5582" max="5582" width="8.5703125" style="46" customWidth="1"/>
    <col min="5583" max="5583" width="10.85546875" style="46" customWidth="1"/>
    <col min="5584" max="5584" width="8.85546875" style="46" customWidth="1"/>
    <col min="5585" max="5585" width="13.85546875" style="46" customWidth="1"/>
    <col min="5586" max="5586" width="11" style="46" customWidth="1"/>
    <col min="5587" max="5588" width="12.28515625" style="46" customWidth="1"/>
    <col min="5589" max="5589" width="6.42578125" style="46" customWidth="1"/>
    <col min="5590" max="5590" width="9.140625" style="46" customWidth="1"/>
    <col min="5591" max="5591" width="6.85546875" style="46" customWidth="1"/>
    <col min="5592" max="5592" width="10.42578125" style="46" customWidth="1"/>
    <col min="5593" max="5593" width="10" style="46" customWidth="1"/>
    <col min="5594" max="5594" width="6.7109375" style="46" bestFit="1" customWidth="1"/>
    <col min="5595" max="5595" width="9.140625" style="46" customWidth="1"/>
    <col min="5596" max="5835" width="9.140625" style="46"/>
    <col min="5836" max="5836" width="82" style="46" customWidth="1"/>
    <col min="5837" max="5837" width="10.7109375" style="46" customWidth="1"/>
    <col min="5838" max="5838" width="8.5703125" style="46" customWidth="1"/>
    <col min="5839" max="5839" width="10.85546875" style="46" customWidth="1"/>
    <col min="5840" max="5840" width="8.85546875" style="46" customWidth="1"/>
    <col min="5841" max="5841" width="13.85546875" style="46" customWidth="1"/>
    <col min="5842" max="5842" width="11" style="46" customWidth="1"/>
    <col min="5843" max="5844" width="12.28515625" style="46" customWidth="1"/>
    <col min="5845" max="5845" width="6.42578125" style="46" customWidth="1"/>
    <col min="5846" max="5846" width="9.140625" style="46" customWidth="1"/>
    <col min="5847" max="5847" width="6.85546875" style="46" customWidth="1"/>
    <col min="5848" max="5848" width="10.42578125" style="46" customWidth="1"/>
    <col min="5849" max="5849" width="10" style="46" customWidth="1"/>
    <col min="5850" max="5850" width="6.7109375" style="46" bestFit="1" customWidth="1"/>
    <col min="5851" max="5851" width="9.140625" style="46" customWidth="1"/>
    <col min="5852" max="6091" width="9.140625" style="46"/>
    <col min="6092" max="6092" width="82" style="46" customWidth="1"/>
    <col min="6093" max="6093" width="10.7109375" style="46" customWidth="1"/>
    <col min="6094" max="6094" width="8.5703125" style="46" customWidth="1"/>
    <col min="6095" max="6095" width="10.85546875" style="46" customWidth="1"/>
    <col min="6096" max="6096" width="8.85546875" style="46" customWidth="1"/>
    <col min="6097" max="6097" width="13.85546875" style="46" customWidth="1"/>
    <col min="6098" max="6098" width="11" style="46" customWidth="1"/>
    <col min="6099" max="6100" width="12.28515625" style="46" customWidth="1"/>
    <col min="6101" max="6101" width="6.42578125" style="46" customWidth="1"/>
    <col min="6102" max="6102" width="9.140625" style="46" customWidth="1"/>
    <col min="6103" max="6103" width="6.85546875" style="46" customWidth="1"/>
    <col min="6104" max="6104" width="10.42578125" style="46" customWidth="1"/>
    <col min="6105" max="6105" width="10" style="46" customWidth="1"/>
    <col min="6106" max="6106" width="6.7109375" style="46" bestFit="1" customWidth="1"/>
    <col min="6107" max="6107" width="9.140625" style="46" customWidth="1"/>
    <col min="6108" max="6347" width="9.140625" style="46"/>
    <col min="6348" max="6348" width="82" style="46" customWidth="1"/>
    <col min="6349" max="6349" width="10.7109375" style="46" customWidth="1"/>
    <col min="6350" max="6350" width="8.5703125" style="46" customWidth="1"/>
    <col min="6351" max="6351" width="10.85546875" style="46" customWidth="1"/>
    <col min="6352" max="6352" width="8.85546875" style="46" customWidth="1"/>
    <col min="6353" max="6353" width="13.85546875" style="46" customWidth="1"/>
    <col min="6354" max="6354" width="11" style="46" customWidth="1"/>
    <col min="6355" max="6356" width="12.28515625" style="46" customWidth="1"/>
    <col min="6357" max="6357" width="6.42578125" style="46" customWidth="1"/>
    <col min="6358" max="6358" width="9.140625" style="46" customWidth="1"/>
    <col min="6359" max="6359" width="6.85546875" style="46" customWidth="1"/>
    <col min="6360" max="6360" width="10.42578125" style="46" customWidth="1"/>
    <col min="6361" max="6361" width="10" style="46" customWidth="1"/>
    <col min="6362" max="6362" width="6.7109375" style="46" bestFit="1" customWidth="1"/>
    <col min="6363" max="6363" width="9.140625" style="46" customWidth="1"/>
    <col min="6364" max="6603" width="9.140625" style="46"/>
    <col min="6604" max="6604" width="82" style="46" customWidth="1"/>
    <col min="6605" max="6605" width="10.7109375" style="46" customWidth="1"/>
    <col min="6606" max="6606" width="8.5703125" style="46" customWidth="1"/>
    <col min="6607" max="6607" width="10.85546875" style="46" customWidth="1"/>
    <col min="6608" max="6608" width="8.85546875" style="46" customWidth="1"/>
    <col min="6609" max="6609" width="13.85546875" style="46" customWidth="1"/>
    <col min="6610" max="6610" width="11" style="46" customWidth="1"/>
    <col min="6611" max="6612" width="12.28515625" style="46" customWidth="1"/>
    <col min="6613" max="6613" width="6.42578125" style="46" customWidth="1"/>
    <col min="6614" max="6614" width="9.140625" style="46" customWidth="1"/>
    <col min="6615" max="6615" width="6.85546875" style="46" customWidth="1"/>
    <col min="6616" max="6616" width="10.42578125" style="46" customWidth="1"/>
    <col min="6617" max="6617" width="10" style="46" customWidth="1"/>
    <col min="6618" max="6618" width="6.7109375" style="46" bestFit="1" customWidth="1"/>
    <col min="6619" max="6619" width="9.140625" style="46" customWidth="1"/>
    <col min="6620" max="6859" width="9.140625" style="46"/>
    <col min="6860" max="6860" width="82" style="46" customWidth="1"/>
    <col min="6861" max="6861" width="10.7109375" style="46" customWidth="1"/>
    <col min="6862" max="6862" width="8.5703125" style="46" customWidth="1"/>
    <col min="6863" max="6863" width="10.85546875" style="46" customWidth="1"/>
    <col min="6864" max="6864" width="8.85546875" style="46" customWidth="1"/>
    <col min="6865" max="6865" width="13.85546875" style="46" customWidth="1"/>
    <col min="6866" max="6866" width="11" style="46" customWidth="1"/>
    <col min="6867" max="6868" width="12.28515625" style="46" customWidth="1"/>
    <col min="6869" max="6869" width="6.42578125" style="46" customWidth="1"/>
    <col min="6870" max="6870" width="9.140625" style="46" customWidth="1"/>
    <col min="6871" max="6871" width="6.85546875" style="46" customWidth="1"/>
    <col min="6872" max="6872" width="10.42578125" style="46" customWidth="1"/>
    <col min="6873" max="6873" width="10" style="46" customWidth="1"/>
    <col min="6874" max="6874" width="6.7109375" style="46" bestFit="1" customWidth="1"/>
    <col min="6875" max="6875" width="9.140625" style="46" customWidth="1"/>
    <col min="6876" max="7115" width="9.140625" style="46"/>
    <col min="7116" max="7116" width="82" style="46" customWidth="1"/>
    <col min="7117" max="7117" width="10.7109375" style="46" customWidth="1"/>
    <col min="7118" max="7118" width="8.5703125" style="46" customWidth="1"/>
    <col min="7119" max="7119" width="10.85546875" style="46" customWidth="1"/>
    <col min="7120" max="7120" width="8.85546875" style="46" customWidth="1"/>
    <col min="7121" max="7121" width="13.85546875" style="46" customWidth="1"/>
    <col min="7122" max="7122" width="11" style="46" customWidth="1"/>
    <col min="7123" max="7124" width="12.28515625" style="46" customWidth="1"/>
    <col min="7125" max="7125" width="6.42578125" style="46" customWidth="1"/>
    <col min="7126" max="7126" width="9.140625" style="46" customWidth="1"/>
    <col min="7127" max="7127" width="6.85546875" style="46" customWidth="1"/>
    <col min="7128" max="7128" width="10.42578125" style="46" customWidth="1"/>
    <col min="7129" max="7129" width="10" style="46" customWidth="1"/>
    <col min="7130" max="7130" width="6.7109375" style="46" bestFit="1" customWidth="1"/>
    <col min="7131" max="7131" width="9.140625" style="46" customWidth="1"/>
    <col min="7132" max="7371" width="9.140625" style="46"/>
    <col min="7372" max="7372" width="82" style="46" customWidth="1"/>
    <col min="7373" max="7373" width="10.7109375" style="46" customWidth="1"/>
    <col min="7374" max="7374" width="8.5703125" style="46" customWidth="1"/>
    <col min="7375" max="7375" width="10.85546875" style="46" customWidth="1"/>
    <col min="7376" max="7376" width="8.85546875" style="46" customWidth="1"/>
    <col min="7377" max="7377" width="13.85546875" style="46" customWidth="1"/>
    <col min="7378" max="7378" width="11" style="46" customWidth="1"/>
    <col min="7379" max="7380" width="12.28515625" style="46" customWidth="1"/>
    <col min="7381" max="7381" width="6.42578125" style="46" customWidth="1"/>
    <col min="7382" max="7382" width="9.140625" style="46" customWidth="1"/>
    <col min="7383" max="7383" width="6.85546875" style="46" customWidth="1"/>
    <col min="7384" max="7384" width="10.42578125" style="46" customWidth="1"/>
    <col min="7385" max="7385" width="10" style="46" customWidth="1"/>
    <col min="7386" max="7386" width="6.7109375" style="46" bestFit="1" customWidth="1"/>
    <col min="7387" max="7387" width="9.140625" style="46" customWidth="1"/>
    <col min="7388" max="7627" width="9.140625" style="46"/>
    <col min="7628" max="7628" width="82" style="46" customWidth="1"/>
    <col min="7629" max="7629" width="10.7109375" style="46" customWidth="1"/>
    <col min="7630" max="7630" width="8.5703125" style="46" customWidth="1"/>
    <col min="7631" max="7631" width="10.85546875" style="46" customWidth="1"/>
    <col min="7632" max="7632" width="8.85546875" style="46" customWidth="1"/>
    <col min="7633" max="7633" width="13.85546875" style="46" customWidth="1"/>
    <col min="7634" max="7634" width="11" style="46" customWidth="1"/>
    <col min="7635" max="7636" width="12.28515625" style="46" customWidth="1"/>
    <col min="7637" max="7637" width="6.42578125" style="46" customWidth="1"/>
    <col min="7638" max="7638" width="9.140625" style="46" customWidth="1"/>
    <col min="7639" max="7639" width="6.85546875" style="46" customWidth="1"/>
    <col min="7640" max="7640" width="10.42578125" style="46" customWidth="1"/>
    <col min="7641" max="7641" width="10" style="46" customWidth="1"/>
    <col min="7642" max="7642" width="6.7109375" style="46" bestFit="1" customWidth="1"/>
    <col min="7643" max="7643" width="9.140625" style="46" customWidth="1"/>
    <col min="7644" max="7883" width="9.140625" style="46"/>
    <col min="7884" max="7884" width="82" style="46" customWidth="1"/>
    <col min="7885" max="7885" width="10.7109375" style="46" customWidth="1"/>
    <col min="7886" max="7886" width="8.5703125" style="46" customWidth="1"/>
    <col min="7887" max="7887" width="10.85546875" style="46" customWidth="1"/>
    <col min="7888" max="7888" width="8.85546875" style="46" customWidth="1"/>
    <col min="7889" max="7889" width="13.85546875" style="46" customWidth="1"/>
    <col min="7890" max="7890" width="11" style="46" customWidth="1"/>
    <col min="7891" max="7892" width="12.28515625" style="46" customWidth="1"/>
    <col min="7893" max="7893" width="6.42578125" style="46" customWidth="1"/>
    <col min="7894" max="7894" width="9.140625" style="46" customWidth="1"/>
    <col min="7895" max="7895" width="6.85546875" style="46" customWidth="1"/>
    <col min="7896" max="7896" width="10.42578125" style="46" customWidth="1"/>
    <col min="7897" max="7897" width="10" style="46" customWidth="1"/>
    <col min="7898" max="7898" width="6.7109375" style="46" bestFit="1" customWidth="1"/>
    <col min="7899" max="7899" width="9.140625" style="46" customWidth="1"/>
    <col min="7900" max="8139" width="9.140625" style="46"/>
    <col min="8140" max="8140" width="82" style="46" customWidth="1"/>
    <col min="8141" max="8141" width="10.7109375" style="46" customWidth="1"/>
    <col min="8142" max="8142" width="8.5703125" style="46" customWidth="1"/>
    <col min="8143" max="8143" width="10.85546875" style="46" customWidth="1"/>
    <col min="8144" max="8144" width="8.85546875" style="46" customWidth="1"/>
    <col min="8145" max="8145" width="13.85546875" style="46" customWidth="1"/>
    <col min="8146" max="8146" width="11" style="46" customWidth="1"/>
    <col min="8147" max="8148" width="12.28515625" style="46" customWidth="1"/>
    <col min="8149" max="8149" width="6.42578125" style="46" customWidth="1"/>
    <col min="8150" max="8150" width="9.140625" style="46" customWidth="1"/>
    <col min="8151" max="8151" width="6.85546875" style="46" customWidth="1"/>
    <col min="8152" max="8152" width="10.42578125" style="46" customWidth="1"/>
    <col min="8153" max="8153" width="10" style="46" customWidth="1"/>
    <col min="8154" max="8154" width="6.7109375" style="46" bestFit="1" customWidth="1"/>
    <col min="8155" max="8155" width="9.140625" style="46" customWidth="1"/>
    <col min="8156" max="8395" width="9.140625" style="46"/>
    <col min="8396" max="8396" width="82" style="46" customWidth="1"/>
    <col min="8397" max="8397" width="10.7109375" style="46" customWidth="1"/>
    <col min="8398" max="8398" width="8.5703125" style="46" customWidth="1"/>
    <col min="8399" max="8399" width="10.85546875" style="46" customWidth="1"/>
    <col min="8400" max="8400" width="8.85546875" style="46" customWidth="1"/>
    <col min="8401" max="8401" width="13.85546875" style="46" customWidth="1"/>
    <col min="8402" max="8402" width="11" style="46" customWidth="1"/>
    <col min="8403" max="8404" width="12.28515625" style="46" customWidth="1"/>
    <col min="8405" max="8405" width="6.42578125" style="46" customWidth="1"/>
    <col min="8406" max="8406" width="9.140625" style="46" customWidth="1"/>
    <col min="8407" max="8407" width="6.85546875" style="46" customWidth="1"/>
    <col min="8408" max="8408" width="10.42578125" style="46" customWidth="1"/>
    <col min="8409" max="8409" width="10" style="46" customWidth="1"/>
    <col min="8410" max="8410" width="6.7109375" style="46" bestFit="1" customWidth="1"/>
    <col min="8411" max="8411" width="9.140625" style="46" customWidth="1"/>
    <col min="8412" max="8651" width="9.140625" style="46"/>
    <col min="8652" max="8652" width="82" style="46" customWidth="1"/>
    <col min="8653" max="8653" width="10.7109375" style="46" customWidth="1"/>
    <col min="8654" max="8654" width="8.5703125" style="46" customWidth="1"/>
    <col min="8655" max="8655" width="10.85546875" style="46" customWidth="1"/>
    <col min="8656" max="8656" width="8.85546875" style="46" customWidth="1"/>
    <col min="8657" max="8657" width="13.85546875" style="46" customWidth="1"/>
    <col min="8658" max="8658" width="11" style="46" customWidth="1"/>
    <col min="8659" max="8660" width="12.28515625" style="46" customWidth="1"/>
    <col min="8661" max="8661" width="6.42578125" style="46" customWidth="1"/>
    <col min="8662" max="8662" width="9.140625" style="46" customWidth="1"/>
    <col min="8663" max="8663" width="6.85546875" style="46" customWidth="1"/>
    <col min="8664" max="8664" width="10.42578125" style="46" customWidth="1"/>
    <col min="8665" max="8665" width="10" style="46" customWidth="1"/>
    <col min="8666" max="8666" width="6.7109375" style="46" bestFit="1" customWidth="1"/>
    <col min="8667" max="8667" width="9.140625" style="46" customWidth="1"/>
    <col min="8668" max="8907" width="9.140625" style="46"/>
    <col min="8908" max="8908" width="82" style="46" customWidth="1"/>
    <col min="8909" max="8909" width="10.7109375" style="46" customWidth="1"/>
    <col min="8910" max="8910" width="8.5703125" style="46" customWidth="1"/>
    <col min="8911" max="8911" width="10.85546875" style="46" customWidth="1"/>
    <col min="8912" max="8912" width="8.85546875" style="46" customWidth="1"/>
    <col min="8913" max="8913" width="13.85546875" style="46" customWidth="1"/>
    <col min="8914" max="8914" width="11" style="46" customWidth="1"/>
    <col min="8915" max="8916" width="12.28515625" style="46" customWidth="1"/>
    <col min="8917" max="8917" width="6.42578125" style="46" customWidth="1"/>
    <col min="8918" max="8918" width="9.140625" style="46" customWidth="1"/>
    <col min="8919" max="8919" width="6.85546875" style="46" customWidth="1"/>
    <col min="8920" max="8920" width="10.42578125" style="46" customWidth="1"/>
    <col min="8921" max="8921" width="10" style="46" customWidth="1"/>
    <col min="8922" max="8922" width="6.7109375" style="46" bestFit="1" customWidth="1"/>
    <col min="8923" max="8923" width="9.140625" style="46" customWidth="1"/>
    <col min="8924" max="9163" width="9.140625" style="46"/>
    <col min="9164" max="9164" width="82" style="46" customWidth="1"/>
    <col min="9165" max="9165" width="10.7109375" style="46" customWidth="1"/>
    <col min="9166" max="9166" width="8.5703125" style="46" customWidth="1"/>
    <col min="9167" max="9167" width="10.85546875" style="46" customWidth="1"/>
    <col min="9168" max="9168" width="8.85546875" style="46" customWidth="1"/>
    <col min="9169" max="9169" width="13.85546875" style="46" customWidth="1"/>
    <col min="9170" max="9170" width="11" style="46" customWidth="1"/>
    <col min="9171" max="9172" width="12.28515625" style="46" customWidth="1"/>
    <col min="9173" max="9173" width="6.42578125" style="46" customWidth="1"/>
    <col min="9174" max="9174" width="9.140625" style="46" customWidth="1"/>
    <col min="9175" max="9175" width="6.85546875" style="46" customWidth="1"/>
    <col min="9176" max="9176" width="10.42578125" style="46" customWidth="1"/>
    <col min="9177" max="9177" width="10" style="46" customWidth="1"/>
    <col min="9178" max="9178" width="6.7109375" style="46" bestFit="1" customWidth="1"/>
    <col min="9179" max="9179" width="9.140625" style="46" customWidth="1"/>
    <col min="9180" max="9419" width="9.140625" style="46"/>
    <col min="9420" max="9420" width="82" style="46" customWidth="1"/>
    <col min="9421" max="9421" width="10.7109375" style="46" customWidth="1"/>
    <col min="9422" max="9422" width="8.5703125" style="46" customWidth="1"/>
    <col min="9423" max="9423" width="10.85546875" style="46" customWidth="1"/>
    <col min="9424" max="9424" width="8.85546875" style="46" customWidth="1"/>
    <col min="9425" max="9425" width="13.85546875" style="46" customWidth="1"/>
    <col min="9426" max="9426" width="11" style="46" customWidth="1"/>
    <col min="9427" max="9428" width="12.28515625" style="46" customWidth="1"/>
    <col min="9429" max="9429" width="6.42578125" style="46" customWidth="1"/>
    <col min="9430" max="9430" width="9.140625" style="46" customWidth="1"/>
    <col min="9431" max="9431" width="6.85546875" style="46" customWidth="1"/>
    <col min="9432" max="9432" width="10.42578125" style="46" customWidth="1"/>
    <col min="9433" max="9433" width="10" style="46" customWidth="1"/>
    <col min="9434" max="9434" width="6.7109375" style="46" bestFit="1" customWidth="1"/>
    <col min="9435" max="9435" width="9.140625" style="46" customWidth="1"/>
    <col min="9436" max="9675" width="9.140625" style="46"/>
    <col min="9676" max="9676" width="82" style="46" customWidth="1"/>
    <col min="9677" max="9677" width="10.7109375" style="46" customWidth="1"/>
    <col min="9678" max="9678" width="8.5703125" style="46" customWidth="1"/>
    <col min="9679" max="9679" width="10.85546875" style="46" customWidth="1"/>
    <col min="9680" max="9680" width="8.85546875" style="46" customWidth="1"/>
    <col min="9681" max="9681" width="13.85546875" style="46" customWidth="1"/>
    <col min="9682" max="9682" width="11" style="46" customWidth="1"/>
    <col min="9683" max="9684" width="12.28515625" style="46" customWidth="1"/>
    <col min="9685" max="9685" width="6.42578125" style="46" customWidth="1"/>
    <col min="9686" max="9686" width="9.140625" style="46" customWidth="1"/>
    <col min="9687" max="9687" width="6.85546875" style="46" customWidth="1"/>
    <col min="9688" max="9688" width="10.42578125" style="46" customWidth="1"/>
    <col min="9689" max="9689" width="10" style="46" customWidth="1"/>
    <col min="9690" max="9690" width="6.7109375" style="46" bestFit="1" customWidth="1"/>
    <col min="9691" max="9691" width="9.140625" style="46" customWidth="1"/>
    <col min="9692" max="9931" width="9.140625" style="46"/>
    <col min="9932" max="9932" width="82" style="46" customWidth="1"/>
    <col min="9933" max="9933" width="10.7109375" style="46" customWidth="1"/>
    <col min="9934" max="9934" width="8.5703125" style="46" customWidth="1"/>
    <col min="9935" max="9935" width="10.85546875" style="46" customWidth="1"/>
    <col min="9936" max="9936" width="8.85546875" style="46" customWidth="1"/>
    <col min="9937" max="9937" width="13.85546875" style="46" customWidth="1"/>
    <col min="9938" max="9938" width="11" style="46" customWidth="1"/>
    <col min="9939" max="9940" width="12.28515625" style="46" customWidth="1"/>
    <col min="9941" max="9941" width="6.42578125" style="46" customWidth="1"/>
    <col min="9942" max="9942" width="9.140625" style="46" customWidth="1"/>
    <col min="9943" max="9943" width="6.85546875" style="46" customWidth="1"/>
    <col min="9944" max="9944" width="10.42578125" style="46" customWidth="1"/>
    <col min="9945" max="9945" width="10" style="46" customWidth="1"/>
    <col min="9946" max="9946" width="6.7109375" style="46" bestFit="1" customWidth="1"/>
    <col min="9947" max="9947" width="9.140625" style="46" customWidth="1"/>
    <col min="9948" max="10187" width="9.140625" style="46"/>
    <col min="10188" max="10188" width="82" style="46" customWidth="1"/>
    <col min="10189" max="10189" width="10.7109375" style="46" customWidth="1"/>
    <col min="10190" max="10190" width="8.5703125" style="46" customWidth="1"/>
    <col min="10191" max="10191" width="10.85546875" style="46" customWidth="1"/>
    <col min="10192" max="10192" width="8.85546875" style="46" customWidth="1"/>
    <col min="10193" max="10193" width="13.85546875" style="46" customWidth="1"/>
    <col min="10194" max="10194" width="11" style="46" customWidth="1"/>
    <col min="10195" max="10196" width="12.28515625" style="46" customWidth="1"/>
    <col min="10197" max="10197" width="6.42578125" style="46" customWidth="1"/>
    <col min="10198" max="10198" width="9.140625" style="46" customWidth="1"/>
    <col min="10199" max="10199" width="6.85546875" style="46" customWidth="1"/>
    <col min="10200" max="10200" width="10.42578125" style="46" customWidth="1"/>
    <col min="10201" max="10201" width="10" style="46" customWidth="1"/>
    <col min="10202" max="10202" width="6.7109375" style="46" bestFit="1" customWidth="1"/>
    <col min="10203" max="10203" width="9.140625" style="46" customWidth="1"/>
    <col min="10204" max="10443" width="9.140625" style="46"/>
    <col min="10444" max="10444" width="82" style="46" customWidth="1"/>
    <col min="10445" max="10445" width="10.7109375" style="46" customWidth="1"/>
    <col min="10446" max="10446" width="8.5703125" style="46" customWidth="1"/>
    <col min="10447" max="10447" width="10.85546875" style="46" customWidth="1"/>
    <col min="10448" max="10448" width="8.85546875" style="46" customWidth="1"/>
    <col min="10449" max="10449" width="13.85546875" style="46" customWidth="1"/>
    <col min="10450" max="10450" width="11" style="46" customWidth="1"/>
    <col min="10451" max="10452" width="12.28515625" style="46" customWidth="1"/>
    <col min="10453" max="10453" width="6.42578125" style="46" customWidth="1"/>
    <col min="10454" max="10454" width="9.140625" style="46" customWidth="1"/>
    <col min="10455" max="10455" width="6.85546875" style="46" customWidth="1"/>
    <col min="10456" max="10456" width="10.42578125" style="46" customWidth="1"/>
    <col min="10457" max="10457" width="10" style="46" customWidth="1"/>
    <col min="10458" max="10458" width="6.7109375" style="46" bestFit="1" customWidth="1"/>
    <col min="10459" max="10459" width="9.140625" style="46" customWidth="1"/>
    <col min="10460" max="10699" width="9.140625" style="46"/>
    <col min="10700" max="10700" width="82" style="46" customWidth="1"/>
    <col min="10701" max="10701" width="10.7109375" style="46" customWidth="1"/>
    <col min="10702" max="10702" width="8.5703125" style="46" customWidth="1"/>
    <col min="10703" max="10703" width="10.85546875" style="46" customWidth="1"/>
    <col min="10704" max="10704" width="8.85546875" style="46" customWidth="1"/>
    <col min="10705" max="10705" width="13.85546875" style="46" customWidth="1"/>
    <col min="10706" max="10706" width="11" style="46" customWidth="1"/>
    <col min="10707" max="10708" width="12.28515625" style="46" customWidth="1"/>
    <col min="10709" max="10709" width="6.42578125" style="46" customWidth="1"/>
    <col min="10710" max="10710" width="9.140625" style="46" customWidth="1"/>
    <col min="10711" max="10711" width="6.85546875" style="46" customWidth="1"/>
    <col min="10712" max="10712" width="10.42578125" style="46" customWidth="1"/>
    <col min="10713" max="10713" width="10" style="46" customWidth="1"/>
    <col min="10714" max="10714" width="6.7109375" style="46" bestFit="1" customWidth="1"/>
    <col min="10715" max="10715" width="9.140625" style="46" customWidth="1"/>
    <col min="10716" max="10955" width="9.140625" style="46"/>
    <col min="10956" max="10956" width="82" style="46" customWidth="1"/>
    <col min="10957" max="10957" width="10.7109375" style="46" customWidth="1"/>
    <col min="10958" max="10958" width="8.5703125" style="46" customWidth="1"/>
    <col min="10959" max="10959" width="10.85546875" style="46" customWidth="1"/>
    <col min="10960" max="10960" width="8.85546875" style="46" customWidth="1"/>
    <col min="10961" max="10961" width="13.85546875" style="46" customWidth="1"/>
    <col min="10962" max="10962" width="11" style="46" customWidth="1"/>
    <col min="10963" max="10964" width="12.28515625" style="46" customWidth="1"/>
    <col min="10965" max="10965" width="6.42578125" style="46" customWidth="1"/>
    <col min="10966" max="10966" width="9.140625" style="46" customWidth="1"/>
    <col min="10967" max="10967" width="6.85546875" style="46" customWidth="1"/>
    <col min="10968" max="10968" width="10.42578125" style="46" customWidth="1"/>
    <col min="10969" max="10969" width="10" style="46" customWidth="1"/>
    <col min="10970" max="10970" width="6.7109375" style="46" bestFit="1" customWidth="1"/>
    <col min="10971" max="10971" width="9.140625" style="46" customWidth="1"/>
    <col min="10972" max="11211" width="9.140625" style="46"/>
    <col min="11212" max="11212" width="82" style="46" customWidth="1"/>
    <col min="11213" max="11213" width="10.7109375" style="46" customWidth="1"/>
    <col min="11214" max="11214" width="8.5703125" style="46" customWidth="1"/>
    <col min="11215" max="11215" width="10.85546875" style="46" customWidth="1"/>
    <col min="11216" max="11216" width="8.85546875" style="46" customWidth="1"/>
    <col min="11217" max="11217" width="13.85546875" style="46" customWidth="1"/>
    <col min="11218" max="11218" width="11" style="46" customWidth="1"/>
    <col min="11219" max="11220" width="12.28515625" style="46" customWidth="1"/>
    <col min="11221" max="11221" width="6.42578125" style="46" customWidth="1"/>
    <col min="11222" max="11222" width="9.140625" style="46" customWidth="1"/>
    <col min="11223" max="11223" width="6.85546875" style="46" customWidth="1"/>
    <col min="11224" max="11224" width="10.42578125" style="46" customWidth="1"/>
    <col min="11225" max="11225" width="10" style="46" customWidth="1"/>
    <col min="11226" max="11226" width="6.7109375" style="46" bestFit="1" customWidth="1"/>
    <col min="11227" max="11227" width="9.140625" style="46" customWidth="1"/>
    <col min="11228" max="11467" width="9.140625" style="46"/>
    <col min="11468" max="11468" width="82" style="46" customWidth="1"/>
    <col min="11469" max="11469" width="10.7109375" style="46" customWidth="1"/>
    <col min="11470" max="11470" width="8.5703125" style="46" customWidth="1"/>
    <col min="11471" max="11471" width="10.85546875" style="46" customWidth="1"/>
    <col min="11472" max="11472" width="8.85546875" style="46" customWidth="1"/>
    <col min="11473" max="11473" width="13.85546875" style="46" customWidth="1"/>
    <col min="11474" max="11474" width="11" style="46" customWidth="1"/>
    <col min="11475" max="11476" width="12.28515625" style="46" customWidth="1"/>
    <col min="11477" max="11477" width="6.42578125" style="46" customWidth="1"/>
    <col min="11478" max="11478" width="9.140625" style="46" customWidth="1"/>
    <col min="11479" max="11479" width="6.85546875" style="46" customWidth="1"/>
    <col min="11480" max="11480" width="10.42578125" style="46" customWidth="1"/>
    <col min="11481" max="11481" width="10" style="46" customWidth="1"/>
    <col min="11482" max="11482" width="6.7109375" style="46" bestFit="1" customWidth="1"/>
    <col min="11483" max="11483" width="9.140625" style="46" customWidth="1"/>
    <col min="11484" max="11723" width="9.140625" style="46"/>
    <col min="11724" max="11724" width="82" style="46" customWidth="1"/>
    <col min="11725" max="11725" width="10.7109375" style="46" customWidth="1"/>
    <col min="11726" max="11726" width="8.5703125" style="46" customWidth="1"/>
    <col min="11727" max="11727" width="10.85546875" style="46" customWidth="1"/>
    <col min="11728" max="11728" width="8.85546875" style="46" customWidth="1"/>
    <col min="11729" max="11729" width="13.85546875" style="46" customWidth="1"/>
    <col min="11730" max="11730" width="11" style="46" customWidth="1"/>
    <col min="11731" max="11732" width="12.28515625" style="46" customWidth="1"/>
    <col min="11733" max="11733" width="6.42578125" style="46" customWidth="1"/>
    <col min="11734" max="11734" width="9.140625" style="46" customWidth="1"/>
    <col min="11735" max="11735" width="6.85546875" style="46" customWidth="1"/>
    <col min="11736" max="11736" width="10.42578125" style="46" customWidth="1"/>
    <col min="11737" max="11737" width="10" style="46" customWidth="1"/>
    <col min="11738" max="11738" width="6.7109375" style="46" bestFit="1" customWidth="1"/>
    <col min="11739" max="11739" width="9.140625" style="46" customWidth="1"/>
    <col min="11740" max="11979" width="9.140625" style="46"/>
    <col min="11980" max="11980" width="82" style="46" customWidth="1"/>
    <col min="11981" max="11981" width="10.7109375" style="46" customWidth="1"/>
    <col min="11982" max="11982" width="8.5703125" style="46" customWidth="1"/>
    <col min="11983" max="11983" width="10.85546875" style="46" customWidth="1"/>
    <col min="11984" max="11984" width="8.85546875" style="46" customWidth="1"/>
    <col min="11985" max="11985" width="13.85546875" style="46" customWidth="1"/>
    <col min="11986" max="11986" width="11" style="46" customWidth="1"/>
    <col min="11987" max="11988" width="12.28515625" style="46" customWidth="1"/>
    <col min="11989" max="11989" width="6.42578125" style="46" customWidth="1"/>
    <col min="11990" max="11990" width="9.140625" style="46" customWidth="1"/>
    <col min="11991" max="11991" width="6.85546875" style="46" customWidth="1"/>
    <col min="11992" max="11992" width="10.42578125" style="46" customWidth="1"/>
    <col min="11993" max="11993" width="10" style="46" customWidth="1"/>
    <col min="11994" max="11994" width="6.7109375" style="46" bestFit="1" customWidth="1"/>
    <col min="11995" max="11995" width="9.140625" style="46" customWidth="1"/>
    <col min="11996" max="12235" width="9.140625" style="46"/>
    <col min="12236" max="12236" width="82" style="46" customWidth="1"/>
    <col min="12237" max="12237" width="10.7109375" style="46" customWidth="1"/>
    <col min="12238" max="12238" width="8.5703125" style="46" customWidth="1"/>
    <col min="12239" max="12239" width="10.85546875" style="46" customWidth="1"/>
    <col min="12240" max="12240" width="8.85546875" style="46" customWidth="1"/>
    <col min="12241" max="12241" width="13.85546875" style="46" customWidth="1"/>
    <col min="12242" max="12242" width="11" style="46" customWidth="1"/>
    <col min="12243" max="12244" width="12.28515625" style="46" customWidth="1"/>
    <col min="12245" max="12245" width="6.42578125" style="46" customWidth="1"/>
    <col min="12246" max="12246" width="9.140625" style="46" customWidth="1"/>
    <col min="12247" max="12247" width="6.85546875" style="46" customWidth="1"/>
    <col min="12248" max="12248" width="10.42578125" style="46" customWidth="1"/>
    <col min="12249" max="12249" width="10" style="46" customWidth="1"/>
    <col min="12250" max="12250" width="6.7109375" style="46" bestFit="1" customWidth="1"/>
    <col min="12251" max="12251" width="9.140625" style="46" customWidth="1"/>
    <col min="12252" max="12491" width="9.140625" style="46"/>
    <col min="12492" max="12492" width="82" style="46" customWidth="1"/>
    <col min="12493" max="12493" width="10.7109375" style="46" customWidth="1"/>
    <col min="12494" max="12494" width="8.5703125" style="46" customWidth="1"/>
    <col min="12495" max="12495" width="10.85546875" style="46" customWidth="1"/>
    <col min="12496" max="12496" width="8.85546875" style="46" customWidth="1"/>
    <col min="12497" max="12497" width="13.85546875" style="46" customWidth="1"/>
    <col min="12498" max="12498" width="11" style="46" customWidth="1"/>
    <col min="12499" max="12500" width="12.28515625" style="46" customWidth="1"/>
    <col min="12501" max="12501" width="6.42578125" style="46" customWidth="1"/>
    <col min="12502" max="12502" width="9.140625" style="46" customWidth="1"/>
    <col min="12503" max="12503" width="6.85546875" style="46" customWidth="1"/>
    <col min="12504" max="12504" width="10.42578125" style="46" customWidth="1"/>
    <col min="12505" max="12505" width="10" style="46" customWidth="1"/>
    <col min="12506" max="12506" width="6.7109375" style="46" bestFit="1" customWidth="1"/>
    <col min="12507" max="12507" width="9.140625" style="46" customWidth="1"/>
    <col min="12508" max="12747" width="9.140625" style="46"/>
    <col min="12748" max="12748" width="82" style="46" customWidth="1"/>
    <col min="12749" max="12749" width="10.7109375" style="46" customWidth="1"/>
    <col min="12750" max="12750" width="8.5703125" style="46" customWidth="1"/>
    <col min="12751" max="12751" width="10.85546875" style="46" customWidth="1"/>
    <col min="12752" max="12752" width="8.85546875" style="46" customWidth="1"/>
    <col min="12753" max="12753" width="13.85546875" style="46" customWidth="1"/>
    <col min="12754" max="12754" width="11" style="46" customWidth="1"/>
    <col min="12755" max="12756" width="12.28515625" style="46" customWidth="1"/>
    <col min="12757" max="12757" width="6.42578125" style="46" customWidth="1"/>
    <col min="12758" max="12758" width="9.140625" style="46" customWidth="1"/>
    <col min="12759" max="12759" width="6.85546875" style="46" customWidth="1"/>
    <col min="12760" max="12760" width="10.42578125" style="46" customWidth="1"/>
    <col min="12761" max="12761" width="10" style="46" customWidth="1"/>
    <col min="12762" max="12762" width="6.7109375" style="46" bestFit="1" customWidth="1"/>
    <col min="12763" max="12763" width="9.140625" style="46" customWidth="1"/>
    <col min="12764" max="13003" width="9.140625" style="46"/>
    <col min="13004" max="13004" width="82" style="46" customWidth="1"/>
    <col min="13005" max="13005" width="10.7109375" style="46" customWidth="1"/>
    <col min="13006" max="13006" width="8.5703125" style="46" customWidth="1"/>
    <col min="13007" max="13007" width="10.85546875" style="46" customWidth="1"/>
    <col min="13008" max="13008" width="8.85546875" style="46" customWidth="1"/>
    <col min="13009" max="13009" width="13.85546875" style="46" customWidth="1"/>
    <col min="13010" max="13010" width="11" style="46" customWidth="1"/>
    <col min="13011" max="13012" width="12.28515625" style="46" customWidth="1"/>
    <col min="13013" max="13013" width="6.42578125" style="46" customWidth="1"/>
    <col min="13014" max="13014" width="9.140625" style="46" customWidth="1"/>
    <col min="13015" max="13015" width="6.85546875" style="46" customWidth="1"/>
    <col min="13016" max="13016" width="10.42578125" style="46" customWidth="1"/>
    <col min="13017" max="13017" width="10" style="46" customWidth="1"/>
    <col min="13018" max="13018" width="6.7109375" style="46" bestFit="1" customWidth="1"/>
    <col min="13019" max="13019" width="9.140625" style="46" customWidth="1"/>
    <col min="13020" max="13259" width="9.140625" style="46"/>
    <col min="13260" max="13260" width="82" style="46" customWidth="1"/>
    <col min="13261" max="13261" width="10.7109375" style="46" customWidth="1"/>
    <col min="13262" max="13262" width="8.5703125" style="46" customWidth="1"/>
    <col min="13263" max="13263" width="10.85546875" style="46" customWidth="1"/>
    <col min="13264" max="13264" width="8.85546875" style="46" customWidth="1"/>
    <col min="13265" max="13265" width="13.85546875" style="46" customWidth="1"/>
    <col min="13266" max="13266" width="11" style="46" customWidth="1"/>
    <col min="13267" max="13268" width="12.28515625" style="46" customWidth="1"/>
    <col min="13269" max="13269" width="6.42578125" style="46" customWidth="1"/>
    <col min="13270" max="13270" width="9.140625" style="46" customWidth="1"/>
    <col min="13271" max="13271" width="6.85546875" style="46" customWidth="1"/>
    <col min="13272" max="13272" width="10.42578125" style="46" customWidth="1"/>
    <col min="13273" max="13273" width="10" style="46" customWidth="1"/>
    <col min="13274" max="13274" width="6.7109375" style="46" bestFit="1" customWidth="1"/>
    <col min="13275" max="13275" width="9.140625" style="46" customWidth="1"/>
    <col min="13276" max="13515" width="9.140625" style="46"/>
    <col min="13516" max="13516" width="82" style="46" customWidth="1"/>
    <col min="13517" max="13517" width="10.7109375" style="46" customWidth="1"/>
    <col min="13518" max="13518" width="8.5703125" style="46" customWidth="1"/>
    <col min="13519" max="13519" width="10.85546875" style="46" customWidth="1"/>
    <col min="13520" max="13520" width="8.85546875" style="46" customWidth="1"/>
    <col min="13521" max="13521" width="13.85546875" style="46" customWidth="1"/>
    <col min="13522" max="13522" width="11" style="46" customWidth="1"/>
    <col min="13523" max="13524" width="12.28515625" style="46" customWidth="1"/>
    <col min="13525" max="13525" width="6.42578125" style="46" customWidth="1"/>
    <col min="13526" max="13526" width="9.140625" style="46" customWidth="1"/>
    <col min="13527" max="13527" width="6.85546875" style="46" customWidth="1"/>
    <col min="13528" max="13528" width="10.42578125" style="46" customWidth="1"/>
    <col min="13529" max="13529" width="10" style="46" customWidth="1"/>
    <col min="13530" max="13530" width="6.7109375" style="46" bestFit="1" customWidth="1"/>
    <col min="13531" max="13531" width="9.140625" style="46" customWidth="1"/>
    <col min="13532" max="13771" width="9.140625" style="46"/>
    <col min="13772" max="13772" width="82" style="46" customWidth="1"/>
    <col min="13773" max="13773" width="10.7109375" style="46" customWidth="1"/>
    <col min="13774" max="13774" width="8.5703125" style="46" customWidth="1"/>
    <col min="13775" max="13775" width="10.85546875" style="46" customWidth="1"/>
    <col min="13776" max="13776" width="8.85546875" style="46" customWidth="1"/>
    <col min="13777" max="13777" width="13.85546875" style="46" customWidth="1"/>
    <col min="13778" max="13778" width="11" style="46" customWidth="1"/>
    <col min="13779" max="13780" width="12.28515625" style="46" customWidth="1"/>
    <col min="13781" max="13781" width="6.42578125" style="46" customWidth="1"/>
    <col min="13782" max="13782" width="9.140625" style="46" customWidth="1"/>
    <col min="13783" max="13783" width="6.85546875" style="46" customWidth="1"/>
    <col min="13784" max="13784" width="10.42578125" style="46" customWidth="1"/>
    <col min="13785" max="13785" width="10" style="46" customWidth="1"/>
    <col min="13786" max="13786" width="6.7109375" style="46" bestFit="1" customWidth="1"/>
    <col min="13787" max="13787" width="9.140625" style="46" customWidth="1"/>
    <col min="13788" max="14027" width="9.140625" style="46"/>
    <col min="14028" max="14028" width="82" style="46" customWidth="1"/>
    <col min="14029" max="14029" width="10.7109375" style="46" customWidth="1"/>
    <col min="14030" max="14030" width="8.5703125" style="46" customWidth="1"/>
    <col min="14031" max="14031" width="10.85546875" style="46" customWidth="1"/>
    <col min="14032" max="14032" width="8.85546875" style="46" customWidth="1"/>
    <col min="14033" max="14033" width="13.85546875" style="46" customWidth="1"/>
    <col min="14034" max="14034" width="11" style="46" customWidth="1"/>
    <col min="14035" max="14036" width="12.28515625" style="46" customWidth="1"/>
    <col min="14037" max="14037" width="6.42578125" style="46" customWidth="1"/>
    <col min="14038" max="14038" width="9.140625" style="46" customWidth="1"/>
    <col min="14039" max="14039" width="6.85546875" style="46" customWidth="1"/>
    <col min="14040" max="14040" width="10.42578125" style="46" customWidth="1"/>
    <col min="14041" max="14041" width="10" style="46" customWidth="1"/>
    <col min="14042" max="14042" width="6.7109375" style="46" bestFit="1" customWidth="1"/>
    <col min="14043" max="14043" width="9.140625" style="46" customWidth="1"/>
    <col min="14044" max="14283" width="9.140625" style="46"/>
    <col min="14284" max="14284" width="82" style="46" customWidth="1"/>
    <col min="14285" max="14285" width="10.7109375" style="46" customWidth="1"/>
    <col min="14286" max="14286" width="8.5703125" style="46" customWidth="1"/>
    <col min="14287" max="14287" width="10.85546875" style="46" customWidth="1"/>
    <col min="14288" max="14288" width="8.85546875" style="46" customWidth="1"/>
    <col min="14289" max="14289" width="13.85546875" style="46" customWidth="1"/>
    <col min="14290" max="14290" width="11" style="46" customWidth="1"/>
    <col min="14291" max="14292" width="12.28515625" style="46" customWidth="1"/>
    <col min="14293" max="14293" width="6.42578125" style="46" customWidth="1"/>
    <col min="14294" max="14294" width="9.140625" style="46" customWidth="1"/>
    <col min="14295" max="14295" width="6.85546875" style="46" customWidth="1"/>
    <col min="14296" max="14296" width="10.42578125" style="46" customWidth="1"/>
    <col min="14297" max="14297" width="10" style="46" customWidth="1"/>
    <col min="14298" max="14298" width="6.7109375" style="46" bestFit="1" customWidth="1"/>
    <col min="14299" max="14299" width="9.140625" style="46" customWidth="1"/>
    <col min="14300" max="14539" width="9.140625" style="46"/>
    <col min="14540" max="14540" width="82" style="46" customWidth="1"/>
    <col min="14541" max="14541" width="10.7109375" style="46" customWidth="1"/>
    <col min="14542" max="14542" width="8.5703125" style="46" customWidth="1"/>
    <col min="14543" max="14543" width="10.85546875" style="46" customWidth="1"/>
    <col min="14544" max="14544" width="8.85546875" style="46" customWidth="1"/>
    <col min="14545" max="14545" width="13.85546875" style="46" customWidth="1"/>
    <col min="14546" max="14546" width="11" style="46" customWidth="1"/>
    <col min="14547" max="14548" width="12.28515625" style="46" customWidth="1"/>
    <col min="14549" max="14549" width="6.42578125" style="46" customWidth="1"/>
    <col min="14550" max="14550" width="9.140625" style="46" customWidth="1"/>
    <col min="14551" max="14551" width="6.85546875" style="46" customWidth="1"/>
    <col min="14552" max="14552" width="10.42578125" style="46" customWidth="1"/>
    <col min="14553" max="14553" width="10" style="46" customWidth="1"/>
    <col min="14554" max="14554" width="6.7109375" style="46" bestFit="1" customWidth="1"/>
    <col min="14555" max="14555" width="9.140625" style="46" customWidth="1"/>
    <col min="14556" max="14795" width="9.140625" style="46"/>
    <col min="14796" max="14796" width="82" style="46" customWidth="1"/>
    <col min="14797" max="14797" width="10.7109375" style="46" customWidth="1"/>
    <col min="14798" max="14798" width="8.5703125" style="46" customWidth="1"/>
    <col min="14799" max="14799" width="10.85546875" style="46" customWidth="1"/>
    <col min="14800" max="14800" width="8.85546875" style="46" customWidth="1"/>
    <col min="14801" max="14801" width="13.85546875" style="46" customWidth="1"/>
    <col min="14802" max="14802" width="11" style="46" customWidth="1"/>
    <col min="14803" max="14804" width="12.28515625" style="46" customWidth="1"/>
    <col min="14805" max="14805" width="6.42578125" style="46" customWidth="1"/>
    <col min="14806" max="14806" width="9.140625" style="46" customWidth="1"/>
    <col min="14807" max="14807" width="6.85546875" style="46" customWidth="1"/>
    <col min="14808" max="14808" width="10.42578125" style="46" customWidth="1"/>
    <col min="14809" max="14809" width="10" style="46" customWidth="1"/>
    <col min="14810" max="14810" width="6.7109375" style="46" bestFit="1" customWidth="1"/>
    <col min="14811" max="14811" width="9.140625" style="46" customWidth="1"/>
    <col min="14812" max="15051" width="9.140625" style="46"/>
    <col min="15052" max="15052" width="82" style="46" customWidth="1"/>
    <col min="15053" max="15053" width="10.7109375" style="46" customWidth="1"/>
    <col min="15054" max="15054" width="8.5703125" style="46" customWidth="1"/>
    <col min="15055" max="15055" width="10.85546875" style="46" customWidth="1"/>
    <col min="15056" max="15056" width="8.85546875" style="46" customWidth="1"/>
    <col min="15057" max="15057" width="13.85546875" style="46" customWidth="1"/>
    <col min="15058" max="15058" width="11" style="46" customWidth="1"/>
    <col min="15059" max="15060" width="12.28515625" style="46" customWidth="1"/>
    <col min="15061" max="15061" width="6.42578125" style="46" customWidth="1"/>
    <col min="15062" max="15062" width="9.140625" style="46" customWidth="1"/>
    <col min="15063" max="15063" width="6.85546875" style="46" customWidth="1"/>
    <col min="15064" max="15064" width="10.42578125" style="46" customWidth="1"/>
    <col min="15065" max="15065" width="10" style="46" customWidth="1"/>
    <col min="15066" max="15066" width="6.7109375" style="46" bestFit="1" customWidth="1"/>
    <col min="15067" max="15067" width="9.140625" style="46" customWidth="1"/>
    <col min="15068" max="15307" width="9.140625" style="46"/>
    <col min="15308" max="15308" width="82" style="46" customWidth="1"/>
    <col min="15309" max="15309" width="10.7109375" style="46" customWidth="1"/>
    <col min="15310" max="15310" width="8.5703125" style="46" customWidth="1"/>
    <col min="15311" max="15311" width="10.85546875" style="46" customWidth="1"/>
    <col min="15312" max="15312" width="8.85546875" style="46" customWidth="1"/>
    <col min="15313" max="15313" width="13.85546875" style="46" customWidth="1"/>
    <col min="15314" max="15314" width="11" style="46" customWidth="1"/>
    <col min="15315" max="15316" width="12.28515625" style="46" customWidth="1"/>
    <col min="15317" max="15317" width="6.42578125" style="46" customWidth="1"/>
    <col min="15318" max="15318" width="9.140625" style="46" customWidth="1"/>
    <col min="15319" max="15319" width="6.85546875" style="46" customWidth="1"/>
    <col min="15320" max="15320" width="10.42578125" style="46" customWidth="1"/>
    <col min="15321" max="15321" width="10" style="46" customWidth="1"/>
    <col min="15322" max="15322" width="6.7109375" style="46" bestFit="1" customWidth="1"/>
    <col min="15323" max="15323" width="9.140625" style="46" customWidth="1"/>
    <col min="15324" max="15563" width="9.140625" style="46"/>
    <col min="15564" max="15564" width="82" style="46" customWidth="1"/>
    <col min="15565" max="15565" width="10.7109375" style="46" customWidth="1"/>
    <col min="15566" max="15566" width="8.5703125" style="46" customWidth="1"/>
    <col min="15567" max="15567" width="10.85546875" style="46" customWidth="1"/>
    <col min="15568" max="15568" width="8.85546875" style="46" customWidth="1"/>
    <col min="15569" max="15569" width="13.85546875" style="46" customWidth="1"/>
    <col min="15570" max="15570" width="11" style="46" customWidth="1"/>
    <col min="15571" max="15572" width="12.28515625" style="46" customWidth="1"/>
    <col min="15573" max="15573" width="6.42578125" style="46" customWidth="1"/>
    <col min="15574" max="15574" width="9.140625" style="46" customWidth="1"/>
    <col min="15575" max="15575" width="6.85546875" style="46" customWidth="1"/>
    <col min="15576" max="15576" width="10.42578125" style="46" customWidth="1"/>
    <col min="15577" max="15577" width="10" style="46" customWidth="1"/>
    <col min="15578" max="15578" width="6.7109375" style="46" bestFit="1" customWidth="1"/>
    <col min="15579" max="15579" width="9.140625" style="46" customWidth="1"/>
    <col min="15580" max="15819" width="9.140625" style="46"/>
    <col min="15820" max="15820" width="82" style="46" customWidth="1"/>
    <col min="15821" max="15821" width="10.7109375" style="46" customWidth="1"/>
    <col min="15822" max="15822" width="8.5703125" style="46" customWidth="1"/>
    <col min="15823" max="15823" width="10.85546875" style="46" customWidth="1"/>
    <col min="15824" max="15824" width="8.85546875" style="46" customWidth="1"/>
    <col min="15825" max="15825" width="13.85546875" style="46" customWidth="1"/>
    <col min="15826" max="15826" width="11" style="46" customWidth="1"/>
    <col min="15827" max="15828" width="12.28515625" style="46" customWidth="1"/>
    <col min="15829" max="15829" width="6.42578125" style="46" customWidth="1"/>
    <col min="15830" max="15830" width="9.140625" style="46" customWidth="1"/>
    <col min="15831" max="15831" width="6.85546875" style="46" customWidth="1"/>
    <col min="15832" max="15832" width="10.42578125" style="46" customWidth="1"/>
    <col min="15833" max="15833" width="10" style="46" customWidth="1"/>
    <col min="15834" max="15834" width="6.7109375" style="46" bestFit="1" customWidth="1"/>
    <col min="15835" max="15835" width="9.140625" style="46" customWidth="1"/>
    <col min="15836" max="16075" width="9.140625" style="46"/>
    <col min="16076" max="16076" width="82" style="46" customWidth="1"/>
    <col min="16077" max="16077" width="10.7109375" style="46" customWidth="1"/>
    <col min="16078" max="16078" width="8.5703125" style="46" customWidth="1"/>
    <col min="16079" max="16079" width="10.85546875" style="46" customWidth="1"/>
    <col min="16080" max="16080" width="8.85546875" style="46" customWidth="1"/>
    <col min="16081" max="16081" width="13.85546875" style="46" customWidth="1"/>
    <col min="16082" max="16082" width="11" style="46" customWidth="1"/>
    <col min="16083" max="16084" width="12.28515625" style="46" customWidth="1"/>
    <col min="16085" max="16085" width="6.42578125" style="46" customWidth="1"/>
    <col min="16086" max="16086" width="9.140625" style="46" customWidth="1"/>
    <col min="16087" max="16087" width="6.85546875" style="46" customWidth="1"/>
    <col min="16088" max="16088" width="10.42578125" style="46" customWidth="1"/>
    <col min="16089" max="16089" width="10" style="46" customWidth="1"/>
    <col min="16090" max="16090" width="6.7109375" style="46" bestFit="1" customWidth="1"/>
    <col min="16091" max="16091" width="9.140625" style="46" customWidth="1"/>
    <col min="16092" max="16384" width="9.140625" style="46"/>
  </cols>
  <sheetData>
    <row r="1" spans="1:29" s="44" customFormat="1" ht="15" customHeight="1">
      <c r="A1" s="1073" t="s">
        <v>18</v>
      </c>
      <c r="B1" s="1073"/>
      <c r="C1" s="45"/>
    </row>
    <row r="2" spans="1:29" s="44" customFormat="1" ht="15" customHeight="1" thickBot="1">
      <c r="A2" s="1073" t="s">
        <v>19</v>
      </c>
      <c r="B2" s="1073"/>
      <c r="C2" s="45"/>
    </row>
    <row r="3" spans="1:29" s="3" customFormat="1" ht="24" customHeight="1" thickBot="1">
      <c r="A3" s="1069" t="s">
        <v>59</v>
      </c>
      <c r="B3" s="1070"/>
      <c r="C3" s="1070"/>
      <c r="D3" s="1070"/>
      <c r="E3" s="1070"/>
      <c r="F3" s="1071"/>
      <c r="G3" s="18"/>
      <c r="H3" s="18"/>
      <c r="I3" s="18"/>
      <c r="J3" s="18"/>
      <c r="K3" s="18"/>
      <c r="L3" s="18"/>
      <c r="M3" s="18"/>
      <c r="N3" s="18"/>
      <c r="O3" s="18"/>
      <c r="P3" s="18"/>
      <c r="Q3" s="18"/>
      <c r="R3" s="18"/>
      <c r="S3" s="18"/>
      <c r="T3" s="18"/>
      <c r="U3" s="18"/>
      <c r="V3" s="18"/>
      <c r="W3" s="18"/>
      <c r="X3" s="18"/>
      <c r="Y3" s="18"/>
      <c r="Z3" s="18"/>
      <c r="AA3" s="18"/>
      <c r="AB3" s="18"/>
      <c r="AC3" s="18"/>
    </row>
    <row r="4" spans="1:29" s="3" customFormat="1" ht="15.6" customHeight="1">
      <c r="A4" s="1074"/>
      <c r="B4" s="1075"/>
      <c r="C4" s="1072">
        <v>2016</v>
      </c>
      <c r="D4" s="1072"/>
      <c r="E4" s="1072"/>
      <c r="F4" s="1072"/>
      <c r="G4" s="18"/>
      <c r="H4" s="18"/>
      <c r="I4" s="18"/>
      <c r="J4" s="18"/>
      <c r="K4" s="18"/>
      <c r="L4" s="18"/>
      <c r="M4" s="18"/>
      <c r="N4" s="18"/>
      <c r="O4" s="18"/>
      <c r="P4" s="18"/>
      <c r="Q4" s="18"/>
      <c r="R4" s="18"/>
      <c r="S4" s="18"/>
      <c r="T4" s="18"/>
      <c r="U4" s="18"/>
      <c r="V4" s="18"/>
      <c r="W4" s="18"/>
      <c r="X4" s="18"/>
      <c r="Y4" s="18"/>
      <c r="Z4" s="18"/>
      <c r="AA4" s="18"/>
      <c r="AB4" s="18"/>
      <c r="AC4" s="18"/>
    </row>
    <row r="5" spans="1:29" s="3" customFormat="1" ht="16.899999999999999" customHeight="1">
      <c r="A5" s="1076"/>
      <c r="B5" s="1075"/>
      <c r="C5" s="1053" t="s">
        <v>1</v>
      </c>
      <c r="D5" s="1053" t="s">
        <v>2</v>
      </c>
      <c r="E5" s="1053" t="s">
        <v>3</v>
      </c>
      <c r="F5" s="1053" t="s">
        <v>4</v>
      </c>
      <c r="G5" s="18"/>
      <c r="H5" s="18"/>
      <c r="I5" s="18"/>
      <c r="J5" s="18"/>
      <c r="K5" s="18"/>
      <c r="L5" s="18"/>
      <c r="M5" s="18"/>
      <c r="N5" s="18"/>
      <c r="O5" s="18"/>
      <c r="P5" s="18"/>
      <c r="Q5" s="18"/>
      <c r="R5" s="18"/>
      <c r="S5" s="18"/>
      <c r="T5" s="18"/>
      <c r="U5" s="18"/>
      <c r="V5" s="18"/>
      <c r="W5" s="18"/>
      <c r="X5" s="18"/>
      <c r="Y5" s="18"/>
      <c r="Z5" s="18"/>
      <c r="AA5" s="18"/>
      <c r="AB5" s="18"/>
      <c r="AC5" s="18"/>
    </row>
    <row r="6" spans="1:29" s="3" customFormat="1" ht="16.899999999999999" customHeight="1">
      <c r="A6" s="1038"/>
      <c r="B6" s="1003"/>
      <c r="C6" s="1053" t="s">
        <v>375</v>
      </c>
      <c r="D6" s="1053" t="s">
        <v>375</v>
      </c>
      <c r="E6" s="1053" t="s">
        <v>375</v>
      </c>
      <c r="F6" s="1053" t="s">
        <v>375</v>
      </c>
      <c r="G6" s="18"/>
      <c r="H6" s="18"/>
      <c r="I6" s="18"/>
      <c r="J6" s="18"/>
      <c r="K6" s="18"/>
      <c r="L6" s="18"/>
      <c r="M6" s="18"/>
      <c r="N6" s="18"/>
      <c r="O6" s="18"/>
      <c r="P6" s="18"/>
      <c r="Q6" s="18"/>
      <c r="R6" s="18"/>
      <c r="S6" s="18"/>
      <c r="T6" s="18"/>
      <c r="U6" s="18"/>
      <c r="V6" s="18"/>
      <c r="W6" s="18"/>
      <c r="X6" s="18"/>
      <c r="Y6" s="18"/>
      <c r="Z6" s="18"/>
      <c r="AA6" s="18"/>
      <c r="AB6" s="18"/>
      <c r="AC6" s="18"/>
    </row>
    <row r="7" spans="1:29" s="3" customFormat="1" ht="20.25" customHeight="1">
      <c r="A7" s="1068" t="s">
        <v>61</v>
      </c>
      <c r="B7" s="1067"/>
      <c r="C7" s="1066"/>
      <c r="D7" s="1067"/>
      <c r="E7" s="1067"/>
      <c r="F7" s="1055"/>
      <c r="G7" s="18"/>
      <c r="H7" s="18"/>
      <c r="I7" s="18"/>
      <c r="J7" s="18"/>
      <c r="K7" s="18"/>
      <c r="L7" s="18"/>
      <c r="M7" s="18"/>
      <c r="N7" s="18"/>
      <c r="O7" s="18"/>
      <c r="P7" s="18"/>
      <c r="Q7" s="18"/>
      <c r="R7" s="18"/>
      <c r="S7" s="18"/>
      <c r="T7" s="18"/>
      <c r="U7" s="18"/>
      <c r="V7" s="18"/>
      <c r="W7" s="18"/>
      <c r="X7" s="18"/>
      <c r="Y7" s="18"/>
      <c r="Z7" s="18"/>
      <c r="AA7" s="18"/>
      <c r="AB7" s="18"/>
      <c r="AC7" s="18"/>
    </row>
    <row r="8" spans="1:29" ht="18" customHeight="1">
      <c r="A8" s="1039" t="s">
        <v>5</v>
      </c>
      <c r="B8" s="1040" t="s">
        <v>376</v>
      </c>
      <c r="C8" s="1037">
        <v>808.92</v>
      </c>
      <c r="D8" s="1037">
        <v>1477.4</v>
      </c>
      <c r="E8" s="1029"/>
      <c r="F8" s="1029"/>
    </row>
    <row r="9" spans="1:29" ht="18.75" customHeight="1">
      <c r="A9" s="1039" t="s">
        <v>6</v>
      </c>
      <c r="B9" s="1040" t="s">
        <v>312</v>
      </c>
      <c r="C9" s="1023">
        <v>0.13500000000000001</v>
      </c>
      <c r="D9" s="1023">
        <v>0.14569205536047297</v>
      </c>
      <c r="E9" s="1030"/>
      <c r="F9" s="1030"/>
    </row>
    <row r="10" spans="1:29" ht="28.5" customHeight="1">
      <c r="A10" s="1039" t="s">
        <v>7</v>
      </c>
      <c r="B10" s="1041" t="s">
        <v>60</v>
      </c>
      <c r="C10" s="1024">
        <v>161.75910586000001</v>
      </c>
      <c r="D10" s="1028">
        <v>314654257.59000003</v>
      </c>
      <c r="E10" s="1031"/>
      <c r="F10" s="1031"/>
    </row>
    <row r="11" spans="1:29" ht="17.25" customHeight="1">
      <c r="A11" s="1061" t="s">
        <v>62</v>
      </c>
      <c r="B11" s="1062"/>
      <c r="C11" s="1063"/>
      <c r="D11" s="1064"/>
      <c r="E11" s="1064"/>
      <c r="F11" s="1054"/>
    </row>
    <row r="12" spans="1:29" ht="21.6" customHeight="1">
      <c r="A12" s="1042" t="s">
        <v>8</v>
      </c>
      <c r="B12" s="1043" t="s">
        <v>313</v>
      </c>
      <c r="C12" s="1025">
        <v>0.68879999999999997</v>
      </c>
      <c r="D12" s="1025">
        <v>0.65580000000000005</v>
      </c>
      <c r="E12" s="1030"/>
      <c r="F12" s="1030"/>
    </row>
    <row r="13" spans="1:29" ht="20.25" customHeight="1">
      <c r="A13" s="1061" t="s">
        <v>63</v>
      </c>
      <c r="B13" s="1062"/>
      <c r="C13" s="1063"/>
      <c r="D13" s="1064"/>
      <c r="E13" s="1064"/>
      <c r="F13" s="1054"/>
    </row>
    <row r="14" spans="1:29" ht="18.600000000000001" customHeight="1">
      <c r="A14" s="1044" t="s">
        <v>9</v>
      </c>
      <c r="B14" s="1045" t="s">
        <v>64</v>
      </c>
      <c r="C14" s="1026">
        <v>0.45119999999999999</v>
      </c>
      <c r="D14" s="1026">
        <v>0.20569999999999999</v>
      </c>
      <c r="E14" s="1032"/>
      <c r="F14" s="1034"/>
    </row>
    <row r="15" spans="1:29" ht="18.75" customHeight="1">
      <c r="A15" s="1061" t="s">
        <v>65</v>
      </c>
      <c r="B15" s="1062"/>
      <c r="C15" s="1063"/>
      <c r="D15" s="1065"/>
      <c r="E15" s="1065"/>
      <c r="F15" s="1054"/>
    </row>
    <row r="16" spans="1:29" ht="18" customHeight="1">
      <c r="A16" s="1039" t="s">
        <v>10</v>
      </c>
      <c r="B16" s="1045" t="s">
        <v>315</v>
      </c>
      <c r="C16" s="1026">
        <v>0.38109999999999999</v>
      </c>
      <c r="D16" s="1026">
        <v>0.23730000000000001</v>
      </c>
      <c r="E16" s="1027"/>
      <c r="F16" s="1035"/>
    </row>
    <row r="17" spans="1:20" ht="21" customHeight="1">
      <c r="A17" s="1061" t="s">
        <v>66</v>
      </c>
      <c r="B17" s="1062"/>
      <c r="C17" s="1063"/>
      <c r="D17" s="1064"/>
      <c r="E17" s="1064"/>
      <c r="F17" s="1054"/>
    </row>
    <row r="18" spans="1:20" ht="24" customHeight="1">
      <c r="A18" s="1039" t="s">
        <v>11</v>
      </c>
      <c r="B18" s="1046" t="s">
        <v>314</v>
      </c>
      <c r="C18" s="1026">
        <v>0.53</v>
      </c>
      <c r="D18" s="1026">
        <v>0.56759999999999999</v>
      </c>
      <c r="E18" s="1033"/>
      <c r="F18" s="1033"/>
    </row>
    <row r="19" spans="1:20" ht="18.75" customHeight="1">
      <c r="A19" s="1061" t="s">
        <v>67</v>
      </c>
      <c r="B19" s="1062"/>
      <c r="C19" s="1063"/>
      <c r="D19" s="1064"/>
      <c r="E19" s="1064"/>
      <c r="F19" s="1054"/>
    </row>
    <row r="20" spans="1:20" ht="23.25" customHeight="1">
      <c r="A20" s="1039" t="s">
        <v>12</v>
      </c>
      <c r="B20" s="1047" t="s">
        <v>68</v>
      </c>
      <c r="C20" s="1026">
        <v>0.7994</v>
      </c>
      <c r="D20" s="1026">
        <v>0.82030000000000003</v>
      </c>
      <c r="E20" s="1034"/>
      <c r="F20" s="1036"/>
    </row>
    <row r="21" spans="1:20" ht="16.899999999999999" customHeight="1">
      <c r="A21" s="1039" t="s">
        <v>13</v>
      </c>
      <c r="B21" s="1048" t="s">
        <v>69</v>
      </c>
      <c r="C21" s="1026">
        <v>0.47060000000000002</v>
      </c>
      <c r="D21" s="1026">
        <v>0.50654250955707703</v>
      </c>
      <c r="E21" s="1030"/>
      <c r="F21" s="1030"/>
    </row>
    <row r="22" spans="1:20" ht="17.25" customHeight="1">
      <c r="A22" s="1061" t="s">
        <v>70</v>
      </c>
      <c r="B22" s="1062"/>
      <c r="C22" s="1063"/>
      <c r="D22" s="1064"/>
      <c r="E22" s="1064"/>
      <c r="F22" s="1054"/>
    </row>
    <row r="23" spans="1:20" ht="25.5" customHeight="1" thickBot="1">
      <c r="A23" s="1049" t="s">
        <v>14</v>
      </c>
      <c r="B23" s="1050" t="s">
        <v>71</v>
      </c>
      <c r="C23" s="1051">
        <v>0.57299999999999995</v>
      </c>
      <c r="D23" s="1051">
        <v>0.76200000000000001</v>
      </c>
      <c r="E23" s="1052"/>
      <c r="F23" s="1052"/>
    </row>
    <row r="24" spans="1:20" s="102" customFormat="1" ht="14.45" customHeight="1">
      <c r="A24" s="1060" t="s">
        <v>72</v>
      </c>
      <c r="B24" s="1060"/>
      <c r="C24" s="100"/>
      <c r="D24" s="100"/>
      <c r="E24" s="101"/>
      <c r="F24" s="101"/>
      <c r="T24" s="94"/>
    </row>
    <row r="25" spans="1:20" s="102" customFormat="1" ht="12">
      <c r="A25" s="300" t="s">
        <v>73</v>
      </c>
      <c r="B25" s="288"/>
      <c r="C25" s="288"/>
      <c r="D25" s="288"/>
      <c r="E25" s="103"/>
      <c r="F25" s="103"/>
      <c r="G25" s="104"/>
      <c r="H25" s="105"/>
      <c r="I25" s="105"/>
      <c r="J25" s="105"/>
      <c r="K25" s="105"/>
      <c r="L25" s="105"/>
      <c r="M25" s="105"/>
      <c r="N25" s="105"/>
      <c r="O25" s="105"/>
      <c r="P25" s="105"/>
      <c r="Q25" s="105"/>
      <c r="R25" s="105"/>
      <c r="S25" s="105"/>
    </row>
    <row r="26" spans="1:20" s="102" customFormat="1" ht="12">
      <c r="A26" s="1056"/>
      <c r="B26" s="1056"/>
      <c r="C26" s="1056"/>
      <c r="D26" s="1056"/>
      <c r="E26" s="1057"/>
      <c r="F26" s="1057"/>
      <c r="G26" s="1057"/>
      <c r="H26" s="1057"/>
      <c r="I26" s="1057"/>
      <c r="J26" s="1057"/>
      <c r="K26" s="1057"/>
      <c r="L26" s="1057"/>
      <c r="M26" s="1057"/>
      <c r="N26" s="1057"/>
      <c r="O26" s="1057"/>
      <c r="P26" s="1057"/>
      <c r="Q26" s="1057"/>
      <c r="R26" s="1057"/>
      <c r="S26" s="1057"/>
    </row>
    <row r="27" spans="1:20" s="102" customFormat="1" ht="29.25" customHeight="1">
      <c r="A27" s="1058"/>
      <c r="B27" s="1058"/>
      <c r="C27" s="1058"/>
      <c r="D27" s="1058"/>
      <c r="E27" s="1059"/>
      <c r="F27" s="1059"/>
      <c r="G27" s="1059"/>
      <c r="H27" s="1059"/>
      <c r="I27" s="1059"/>
      <c r="J27" s="1059"/>
      <c r="K27" s="1059"/>
      <c r="L27" s="1059"/>
      <c r="M27" s="1059"/>
      <c r="N27" s="1059"/>
      <c r="O27" s="1059"/>
      <c r="P27" s="1059"/>
      <c r="Q27" s="1059"/>
      <c r="R27" s="1059"/>
      <c r="S27" s="1059"/>
    </row>
    <row r="28" spans="1:20" s="102" customFormat="1" ht="12">
      <c r="B28" s="288"/>
      <c r="C28" s="288"/>
      <c r="D28" s="288"/>
      <c r="E28" s="103"/>
      <c r="F28" s="103"/>
      <c r="G28" s="104"/>
      <c r="H28" s="105"/>
      <c r="I28" s="105"/>
      <c r="J28" s="105"/>
      <c r="K28" s="105"/>
      <c r="L28" s="105"/>
      <c r="M28" s="105"/>
      <c r="N28" s="106"/>
      <c r="O28" s="104"/>
      <c r="P28" s="105"/>
      <c r="Q28" s="105"/>
      <c r="R28" s="105"/>
      <c r="S28" s="105"/>
    </row>
  </sheetData>
  <mergeCells count="22">
    <mergeCell ref="A3:F3"/>
    <mergeCell ref="C4:F4"/>
    <mergeCell ref="A1:B1"/>
    <mergeCell ref="A2:B2"/>
    <mergeCell ref="A4:B5"/>
    <mergeCell ref="A19:B19"/>
    <mergeCell ref="C19:E19"/>
    <mergeCell ref="C15:E15"/>
    <mergeCell ref="C7:E7"/>
    <mergeCell ref="A11:B11"/>
    <mergeCell ref="C11:E11"/>
    <mergeCell ref="A7:B7"/>
    <mergeCell ref="A17:B17"/>
    <mergeCell ref="C17:E17"/>
    <mergeCell ref="A13:B13"/>
    <mergeCell ref="C13:E13"/>
    <mergeCell ref="A15:B15"/>
    <mergeCell ref="A26:S26"/>
    <mergeCell ref="A27:S27"/>
    <mergeCell ref="A24:B24"/>
    <mergeCell ref="A22:B22"/>
    <mergeCell ref="C22:E22"/>
  </mergeCells>
  <pageMargins left="0.70866141732283472" right="0.70866141732283472" top="0.74803149606299213" bottom="0.74803149606299213" header="0.31496062992125984" footer="0.31496062992125984"/>
  <pageSetup paperSize="9" fitToHeight="0" orientation="landscape" r:id="rId1"/>
  <headerFoot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Normal="100" zoomScaleSheetLayoutView="100" workbookViewId="0">
      <selection activeCell="D30" sqref="D30"/>
    </sheetView>
  </sheetViews>
  <sheetFormatPr defaultRowHeight="15"/>
  <cols>
    <col min="1" max="1" width="39.42578125" bestFit="1" customWidth="1"/>
    <col min="2" max="2" width="13.140625" customWidth="1"/>
    <col min="3" max="3" width="14.28515625" customWidth="1"/>
    <col min="4" max="4" width="13.5703125" bestFit="1" customWidth="1"/>
    <col min="5" max="8" width="12.5703125" bestFit="1" customWidth="1"/>
    <col min="9" max="9" width="10.85546875" customWidth="1"/>
    <col min="10" max="10" width="11" customWidth="1"/>
    <col min="17" max="17" width="12.42578125" bestFit="1" customWidth="1"/>
  </cols>
  <sheetData>
    <row r="1" spans="1:17" ht="18.75" customHeight="1">
      <c r="A1" s="21" t="s">
        <v>18</v>
      </c>
      <c r="B1" s="76"/>
      <c r="C1" s="76"/>
      <c r="D1" s="77"/>
      <c r="E1" s="78"/>
      <c r="F1" s="79"/>
      <c r="G1" s="80"/>
      <c r="H1" s="80"/>
      <c r="I1" s="80"/>
      <c r="J1" s="80"/>
      <c r="K1" s="80"/>
      <c r="L1" s="80"/>
      <c r="M1" s="80"/>
      <c r="N1" s="80"/>
      <c r="O1" s="80"/>
      <c r="P1" s="80"/>
      <c r="Q1" s="80"/>
    </row>
    <row r="2" spans="1:17" ht="18" customHeight="1">
      <c r="A2" s="21" t="s">
        <v>19</v>
      </c>
      <c r="B2" s="84"/>
      <c r="C2" s="84"/>
      <c r="D2" s="77"/>
      <c r="E2" s="78"/>
      <c r="F2" s="79"/>
      <c r="G2" s="80"/>
      <c r="H2" s="80"/>
      <c r="I2" s="80"/>
      <c r="J2" s="80"/>
      <c r="K2" s="80"/>
      <c r="L2" s="80"/>
      <c r="M2" s="80"/>
      <c r="N2" s="80"/>
      <c r="O2" s="80"/>
      <c r="P2" s="80"/>
      <c r="Q2" s="80"/>
    </row>
    <row r="3" spans="1:17">
      <c r="A3" s="76"/>
      <c r="B3" s="76"/>
      <c r="C3" s="76"/>
      <c r="D3" s="77"/>
      <c r="E3" s="78"/>
      <c r="F3" s="79"/>
      <c r="G3" s="80"/>
      <c r="H3" s="80"/>
      <c r="I3" s="80"/>
      <c r="J3" s="80"/>
      <c r="K3" s="80"/>
      <c r="L3" s="80"/>
      <c r="M3" s="80"/>
      <c r="N3" s="80"/>
      <c r="O3" s="80"/>
      <c r="P3" s="80"/>
      <c r="Q3" s="80"/>
    </row>
    <row r="4" spans="1:17">
      <c r="A4" s="1129" t="s">
        <v>369</v>
      </c>
      <c r="B4" s="1129"/>
      <c r="C4" s="1129"/>
      <c r="D4" s="1149"/>
      <c r="E4" s="1129"/>
      <c r="F4" s="1129"/>
      <c r="G4" s="1129"/>
      <c r="H4" s="1129"/>
      <c r="I4" s="1129"/>
      <c r="J4" s="1129"/>
      <c r="K4" s="1129"/>
      <c r="L4" s="1129"/>
      <c r="M4" s="1129"/>
      <c r="N4" s="1129"/>
      <c r="O4" s="1129"/>
      <c r="P4" s="1129"/>
      <c r="Q4" s="1129"/>
    </row>
    <row r="5" spans="1:17">
      <c r="D5" s="857"/>
    </row>
    <row r="6" spans="1:17" ht="15" customHeight="1">
      <c r="A6" s="1150"/>
      <c r="B6" s="1085" t="s">
        <v>23</v>
      </c>
      <c r="C6" s="1085" t="s">
        <v>24</v>
      </c>
      <c r="D6" s="1108" t="s">
        <v>25</v>
      </c>
      <c r="E6" s="1147">
        <v>2016</v>
      </c>
      <c r="F6" s="1148"/>
      <c r="G6" s="1148"/>
      <c r="H6" s="1148"/>
      <c r="I6" s="1148"/>
      <c r="J6" s="1148"/>
      <c r="K6" s="1148"/>
      <c r="L6" s="1148"/>
      <c r="M6" s="1148"/>
      <c r="N6" s="1148"/>
      <c r="O6" s="1148"/>
      <c r="P6" s="1148"/>
      <c r="Q6" s="1148"/>
    </row>
    <row r="7" spans="1:17">
      <c r="A7" s="1151"/>
      <c r="B7" s="1086"/>
      <c r="C7" s="1086"/>
      <c r="D7" s="1086"/>
      <c r="E7" s="1" t="s">
        <v>26</v>
      </c>
      <c r="F7" s="1" t="s">
        <v>27</v>
      </c>
      <c r="G7" s="1" t="s">
        <v>28</v>
      </c>
      <c r="H7" s="1" t="s">
        <v>29</v>
      </c>
      <c r="I7" s="1" t="s">
        <v>30</v>
      </c>
      <c r="J7" s="1" t="s">
        <v>31</v>
      </c>
      <c r="K7" s="1" t="s">
        <v>32</v>
      </c>
      <c r="L7" s="1" t="s">
        <v>33</v>
      </c>
      <c r="M7" s="1" t="s">
        <v>34</v>
      </c>
      <c r="N7" s="1" t="s">
        <v>35</v>
      </c>
      <c r="O7" s="1" t="s">
        <v>36</v>
      </c>
      <c r="P7" s="1" t="s">
        <v>37</v>
      </c>
      <c r="Q7" s="1" t="s">
        <v>38</v>
      </c>
    </row>
    <row r="8" spans="1:17">
      <c r="A8" s="82" t="s">
        <v>286</v>
      </c>
      <c r="B8" s="83"/>
      <c r="C8" s="83"/>
      <c r="D8" s="83"/>
      <c r="E8" s="83"/>
      <c r="F8" s="83"/>
      <c r="G8" s="83"/>
      <c r="H8" s="83"/>
      <c r="I8" s="83"/>
      <c r="J8" s="83"/>
      <c r="K8" s="83"/>
      <c r="L8" s="83"/>
      <c r="M8" s="83"/>
      <c r="N8" s="83"/>
      <c r="O8" s="83"/>
      <c r="P8" s="83"/>
      <c r="Q8" s="83"/>
    </row>
    <row r="9" spans="1:17">
      <c r="A9" s="1125"/>
      <c r="B9" s="1146"/>
      <c r="C9" s="1146"/>
      <c r="D9" s="1146"/>
      <c r="E9" s="1146"/>
      <c r="F9" s="1146"/>
      <c r="G9" s="1146"/>
      <c r="H9" s="1146"/>
      <c r="I9" s="1146"/>
      <c r="J9" s="1146"/>
      <c r="K9" s="1146"/>
      <c r="L9" s="1146"/>
      <c r="M9" s="1146"/>
      <c r="N9" s="1146"/>
      <c r="O9" s="1146"/>
      <c r="P9" s="1146"/>
      <c r="Q9" s="1146"/>
    </row>
    <row r="10" spans="1:17" ht="16.5" customHeight="1">
      <c r="A10" s="184" t="s">
        <v>287</v>
      </c>
      <c r="B10" s="184"/>
      <c r="C10" s="184"/>
      <c r="D10" s="177">
        <v>4305153</v>
      </c>
      <c r="E10" s="177">
        <v>4377805</v>
      </c>
      <c r="F10" s="177">
        <v>4407105</v>
      </c>
      <c r="G10" s="177">
        <v>4234326</v>
      </c>
      <c r="H10" s="177">
        <v>4166853</v>
      </c>
      <c r="I10" s="177">
        <v>4099041</v>
      </c>
      <c r="J10" s="177">
        <v>4003372</v>
      </c>
      <c r="K10" s="176"/>
      <c r="L10" s="176"/>
      <c r="M10" s="176"/>
      <c r="N10" s="176"/>
      <c r="O10" s="176"/>
      <c r="P10" s="185"/>
      <c r="Q10" s="177"/>
    </row>
    <row r="11" spans="1:17" ht="24">
      <c r="A11" s="175" t="s">
        <v>288</v>
      </c>
      <c r="B11" s="175"/>
      <c r="C11" s="175"/>
      <c r="D11" s="324">
        <v>1553005</v>
      </c>
      <c r="E11" s="324">
        <v>1529426</v>
      </c>
      <c r="F11" s="324">
        <v>1563284</v>
      </c>
      <c r="G11" s="324">
        <v>1526464</v>
      </c>
      <c r="H11" s="324">
        <v>1522703</v>
      </c>
      <c r="I11" s="324">
        <v>1513146</v>
      </c>
      <c r="J11" s="324">
        <v>1492088</v>
      </c>
      <c r="K11" s="177"/>
      <c r="L11" s="177"/>
      <c r="M11" s="177"/>
      <c r="N11" s="177"/>
      <c r="O11" s="177"/>
      <c r="P11" s="177"/>
      <c r="Q11" s="177"/>
    </row>
    <row r="12" spans="1:17" ht="17.25" customHeight="1" thickBot="1">
      <c r="A12" s="181" t="s">
        <v>289</v>
      </c>
      <c r="B12" s="181"/>
      <c r="C12" s="181"/>
      <c r="D12" s="325">
        <v>695074</v>
      </c>
      <c r="E12" s="325">
        <v>700385</v>
      </c>
      <c r="F12" s="325">
        <v>708502</v>
      </c>
      <c r="G12" s="325">
        <v>718405</v>
      </c>
      <c r="H12" s="325">
        <v>728011</v>
      </c>
      <c r="I12" s="325">
        <v>738620</v>
      </c>
      <c r="J12" s="325">
        <v>755806</v>
      </c>
      <c r="K12" s="187"/>
      <c r="L12" s="187"/>
      <c r="M12" s="187"/>
      <c r="N12" s="187"/>
      <c r="O12" s="187"/>
      <c r="P12" s="187"/>
      <c r="Q12" s="186"/>
    </row>
    <row r="13" spans="1:17" ht="24.75" thickBot="1">
      <c r="A13" s="214" t="s">
        <v>290</v>
      </c>
      <c r="B13" s="215"/>
      <c r="C13" s="215"/>
      <c r="D13" s="323">
        <f>D12/D11</f>
        <v>0.44756713597187386</v>
      </c>
      <c r="E13" s="323">
        <f t="shared" ref="E13:J13" si="0">E12/E11</f>
        <v>0.4579397760990071</v>
      </c>
      <c r="F13" s="323">
        <f t="shared" si="0"/>
        <v>0.45321387540587632</v>
      </c>
      <c r="G13" s="323">
        <f t="shared" si="0"/>
        <v>0.47063343780135003</v>
      </c>
      <c r="H13" s="323">
        <f t="shared" si="0"/>
        <v>0.47810439724621284</v>
      </c>
      <c r="I13" s="323">
        <f t="shared" si="0"/>
        <v>0.48813531542891431</v>
      </c>
      <c r="J13" s="323">
        <f t="shared" si="0"/>
        <v>0.50654250955707703</v>
      </c>
      <c r="K13" s="216"/>
      <c r="L13" s="216"/>
      <c r="M13" s="216"/>
      <c r="N13" s="216"/>
      <c r="O13" s="216"/>
      <c r="P13" s="216"/>
      <c r="Q13" s="188"/>
    </row>
    <row r="14" spans="1:17" ht="10.5" customHeight="1"/>
    <row r="15" spans="1:17" ht="16.5" customHeight="1">
      <c r="A15" s="287" t="s">
        <v>57</v>
      </c>
    </row>
    <row r="16" spans="1:17">
      <c r="A16" s="326" t="s">
        <v>370</v>
      </c>
    </row>
  </sheetData>
  <mergeCells count="7">
    <mergeCell ref="A4:Q4"/>
    <mergeCell ref="A9:Q9"/>
    <mergeCell ref="A6:A7"/>
    <mergeCell ref="B6:B7"/>
    <mergeCell ref="C6:C7"/>
    <mergeCell ref="D6:D7"/>
    <mergeCell ref="E6:Q6"/>
  </mergeCells>
  <pageMargins left="0.70866141732283472" right="0.70866141732283472" top="0.74803149606299213" bottom="0.74803149606299213" header="0.31496062992125984" footer="0.31496062992125984"/>
  <pageSetup paperSize="9" scale="59" fitToHeight="0" orientation="landscape" r:id="rId1"/>
  <headerFooter>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431"/>
  <sheetViews>
    <sheetView showGridLines="0" workbookViewId="0">
      <pane xSplit="7" ySplit="1" topLeftCell="H2" activePane="bottomRight" state="frozen"/>
      <selection pane="topRight" activeCell="H1" sqref="H1"/>
      <selection pane="bottomLeft" activeCell="A2" sqref="A2"/>
      <selection pane="bottomRight" activeCell="BE27" sqref="BE27"/>
    </sheetView>
  </sheetViews>
  <sheetFormatPr defaultRowHeight="15"/>
  <cols>
    <col min="1" max="1" width="5" style="335" customWidth="1"/>
    <col min="2" max="2" width="59.5703125" style="335" customWidth="1"/>
    <col min="3" max="3" width="2.5703125" style="335" hidden="1" customWidth="1"/>
    <col min="4" max="5" width="6.7109375" style="335" hidden="1" customWidth="1"/>
    <col min="6" max="6" width="1.42578125" style="335" hidden="1" customWidth="1"/>
    <col min="7" max="7" width="3.5703125" style="337" hidden="1" customWidth="1"/>
    <col min="8" max="8" width="7.5703125" style="335" customWidth="1"/>
    <col min="9" max="11" width="8.140625" style="335" hidden="1" customWidth="1"/>
    <col min="12" max="12" width="8.140625" style="337" hidden="1" customWidth="1"/>
    <col min="13" max="15" width="8.140625" style="335" hidden="1" customWidth="1"/>
    <col min="16" max="16" width="8.140625" style="337" hidden="1" customWidth="1"/>
    <col min="17" max="20" width="8.140625" style="335" hidden="1" customWidth="1"/>
    <col min="21" max="22" width="8.140625" style="337" hidden="1" customWidth="1"/>
    <col min="23" max="25" width="8.140625" style="335" hidden="1" customWidth="1"/>
    <col min="26" max="26" width="7.28515625" style="337" hidden="1" customWidth="1"/>
    <col min="27" max="27" width="7.5703125" style="335" customWidth="1"/>
    <col min="28" max="28" width="7.140625" style="335" hidden="1" customWidth="1"/>
    <col min="29" max="30" width="5.7109375" style="335" hidden="1" customWidth="1"/>
    <col min="31" max="31" width="7.28515625" style="337" hidden="1" customWidth="1"/>
    <col min="32" max="34" width="5.7109375" style="335" hidden="1" customWidth="1"/>
    <col min="35" max="35" width="7.28515625" style="337" hidden="1" customWidth="1"/>
    <col min="36" max="37" width="5.7109375" style="335" hidden="1" customWidth="1"/>
    <col min="38" max="38" width="6.7109375" style="335" hidden="1" customWidth="1"/>
    <col min="39" max="39" width="5.7109375" style="335" hidden="1" customWidth="1"/>
    <col min="40" max="41" width="7.28515625" style="337" hidden="1" customWidth="1"/>
    <col min="42" max="44" width="5.7109375" style="335" hidden="1" customWidth="1"/>
    <col min="45" max="45" width="7.28515625" style="337" hidden="1" customWidth="1"/>
    <col min="46" max="46" width="7.5703125" style="335" customWidth="1"/>
    <col min="47" max="49" width="8" style="335" customWidth="1"/>
    <col min="50" max="50" width="8.28515625" style="337" customWidth="1"/>
    <col min="51" max="53" width="8.140625" style="335" customWidth="1"/>
    <col min="54" max="54" width="8.7109375" style="337" customWidth="1"/>
    <col min="55" max="55" width="8.42578125" style="335" customWidth="1"/>
    <col min="56" max="56" width="9.140625" style="336"/>
    <col min="57" max="256" width="9.140625" style="335"/>
    <col min="257" max="257" width="5" style="335" customWidth="1"/>
    <col min="258" max="258" width="59.5703125" style="335" customWidth="1"/>
    <col min="259" max="263" width="0" style="335" hidden="1" customWidth="1"/>
    <col min="264" max="264" width="7.5703125" style="335" customWidth="1"/>
    <col min="265" max="282" width="0" style="335" hidden="1" customWidth="1"/>
    <col min="283" max="283" width="7.5703125" style="335" customWidth="1"/>
    <col min="284" max="301" width="0" style="335" hidden="1" customWidth="1"/>
    <col min="302" max="302" width="7.5703125" style="335" customWidth="1"/>
    <col min="303" max="305" width="8" style="335" customWidth="1"/>
    <col min="306" max="306" width="8.28515625" style="335" customWidth="1"/>
    <col min="307" max="309" width="8.140625" style="335" customWidth="1"/>
    <col min="310" max="310" width="8.7109375" style="335" customWidth="1"/>
    <col min="311" max="311" width="8.42578125" style="335" customWidth="1"/>
    <col min="312" max="512" width="9.140625" style="335"/>
    <col min="513" max="513" width="5" style="335" customWidth="1"/>
    <col min="514" max="514" width="59.5703125" style="335" customWidth="1"/>
    <col min="515" max="519" width="0" style="335" hidden="1" customWidth="1"/>
    <col min="520" max="520" width="7.5703125" style="335" customWidth="1"/>
    <col min="521" max="538" width="0" style="335" hidden="1" customWidth="1"/>
    <col min="539" max="539" width="7.5703125" style="335" customWidth="1"/>
    <col min="540" max="557" width="0" style="335" hidden="1" customWidth="1"/>
    <col min="558" max="558" width="7.5703125" style="335" customWidth="1"/>
    <col min="559" max="561" width="8" style="335" customWidth="1"/>
    <col min="562" max="562" width="8.28515625" style="335" customWidth="1"/>
    <col min="563" max="565" width="8.140625" style="335" customWidth="1"/>
    <col min="566" max="566" width="8.7109375" style="335" customWidth="1"/>
    <col min="567" max="567" width="8.42578125" style="335" customWidth="1"/>
    <col min="568" max="768" width="9.140625" style="335"/>
    <col min="769" max="769" width="5" style="335" customWidth="1"/>
    <col min="770" max="770" width="59.5703125" style="335" customWidth="1"/>
    <col min="771" max="775" width="0" style="335" hidden="1" customWidth="1"/>
    <col min="776" max="776" width="7.5703125" style="335" customWidth="1"/>
    <col min="777" max="794" width="0" style="335" hidden="1" customWidth="1"/>
    <col min="795" max="795" width="7.5703125" style="335" customWidth="1"/>
    <col min="796" max="813" width="0" style="335" hidden="1" customWidth="1"/>
    <col min="814" max="814" width="7.5703125" style="335" customWidth="1"/>
    <col min="815" max="817" width="8" style="335" customWidth="1"/>
    <col min="818" max="818" width="8.28515625" style="335" customWidth="1"/>
    <col min="819" max="821" width="8.140625" style="335" customWidth="1"/>
    <col min="822" max="822" width="8.7109375" style="335" customWidth="1"/>
    <col min="823" max="823" width="8.42578125" style="335" customWidth="1"/>
    <col min="824" max="1024" width="9.140625" style="335"/>
    <col min="1025" max="1025" width="5" style="335" customWidth="1"/>
    <col min="1026" max="1026" width="59.5703125" style="335" customWidth="1"/>
    <col min="1027" max="1031" width="0" style="335" hidden="1" customWidth="1"/>
    <col min="1032" max="1032" width="7.5703125" style="335" customWidth="1"/>
    <col min="1033" max="1050" width="0" style="335" hidden="1" customWidth="1"/>
    <col min="1051" max="1051" width="7.5703125" style="335" customWidth="1"/>
    <col min="1052" max="1069" width="0" style="335" hidden="1" customWidth="1"/>
    <col min="1070" max="1070" width="7.5703125" style="335" customWidth="1"/>
    <col min="1071" max="1073" width="8" style="335" customWidth="1"/>
    <col min="1074" max="1074" width="8.28515625" style="335" customWidth="1"/>
    <col min="1075" max="1077" width="8.140625" style="335" customWidth="1"/>
    <col min="1078" max="1078" width="8.7109375" style="335" customWidth="1"/>
    <col min="1079" max="1079" width="8.42578125" style="335" customWidth="1"/>
    <col min="1080" max="1280" width="9.140625" style="335"/>
    <col min="1281" max="1281" width="5" style="335" customWidth="1"/>
    <col min="1282" max="1282" width="59.5703125" style="335" customWidth="1"/>
    <col min="1283" max="1287" width="0" style="335" hidden="1" customWidth="1"/>
    <col min="1288" max="1288" width="7.5703125" style="335" customWidth="1"/>
    <col min="1289" max="1306" width="0" style="335" hidden="1" customWidth="1"/>
    <col min="1307" max="1307" width="7.5703125" style="335" customWidth="1"/>
    <col min="1308" max="1325" width="0" style="335" hidden="1" customWidth="1"/>
    <col min="1326" max="1326" width="7.5703125" style="335" customWidth="1"/>
    <col min="1327" max="1329" width="8" style="335" customWidth="1"/>
    <col min="1330" max="1330" width="8.28515625" style="335" customWidth="1"/>
    <col min="1331" max="1333" width="8.140625" style="335" customWidth="1"/>
    <col min="1334" max="1334" width="8.7109375" style="335" customWidth="1"/>
    <col min="1335" max="1335" width="8.42578125" style="335" customWidth="1"/>
    <col min="1336" max="1536" width="9.140625" style="335"/>
    <col min="1537" max="1537" width="5" style="335" customWidth="1"/>
    <col min="1538" max="1538" width="59.5703125" style="335" customWidth="1"/>
    <col min="1539" max="1543" width="0" style="335" hidden="1" customWidth="1"/>
    <col min="1544" max="1544" width="7.5703125" style="335" customWidth="1"/>
    <col min="1545" max="1562" width="0" style="335" hidden="1" customWidth="1"/>
    <col min="1563" max="1563" width="7.5703125" style="335" customWidth="1"/>
    <col min="1564" max="1581" width="0" style="335" hidden="1" customWidth="1"/>
    <col min="1582" max="1582" width="7.5703125" style="335" customWidth="1"/>
    <col min="1583" max="1585" width="8" style="335" customWidth="1"/>
    <col min="1586" max="1586" width="8.28515625" style="335" customWidth="1"/>
    <col min="1587" max="1589" width="8.140625" style="335" customWidth="1"/>
    <col min="1590" max="1590" width="8.7109375" style="335" customWidth="1"/>
    <col min="1591" max="1591" width="8.42578125" style="335" customWidth="1"/>
    <col min="1592" max="1792" width="9.140625" style="335"/>
    <col min="1793" max="1793" width="5" style="335" customWidth="1"/>
    <col min="1794" max="1794" width="59.5703125" style="335" customWidth="1"/>
    <col min="1795" max="1799" width="0" style="335" hidden="1" customWidth="1"/>
    <col min="1800" max="1800" width="7.5703125" style="335" customWidth="1"/>
    <col min="1801" max="1818" width="0" style="335" hidden="1" customWidth="1"/>
    <col min="1819" max="1819" width="7.5703125" style="335" customWidth="1"/>
    <col min="1820" max="1837" width="0" style="335" hidden="1" customWidth="1"/>
    <col min="1838" max="1838" width="7.5703125" style="335" customWidth="1"/>
    <col min="1839" max="1841" width="8" style="335" customWidth="1"/>
    <col min="1842" max="1842" width="8.28515625" style="335" customWidth="1"/>
    <col min="1843" max="1845" width="8.140625" style="335" customWidth="1"/>
    <col min="1846" max="1846" width="8.7109375" style="335" customWidth="1"/>
    <col min="1847" max="1847" width="8.42578125" style="335" customWidth="1"/>
    <col min="1848" max="2048" width="9.140625" style="335"/>
    <col min="2049" max="2049" width="5" style="335" customWidth="1"/>
    <col min="2050" max="2050" width="59.5703125" style="335" customWidth="1"/>
    <col min="2051" max="2055" width="0" style="335" hidden="1" customWidth="1"/>
    <col min="2056" max="2056" width="7.5703125" style="335" customWidth="1"/>
    <col min="2057" max="2074" width="0" style="335" hidden="1" customWidth="1"/>
    <col min="2075" max="2075" width="7.5703125" style="335" customWidth="1"/>
    <col min="2076" max="2093" width="0" style="335" hidden="1" customWidth="1"/>
    <col min="2094" max="2094" width="7.5703125" style="335" customWidth="1"/>
    <col min="2095" max="2097" width="8" style="335" customWidth="1"/>
    <col min="2098" max="2098" width="8.28515625" style="335" customWidth="1"/>
    <col min="2099" max="2101" width="8.140625" style="335" customWidth="1"/>
    <col min="2102" max="2102" width="8.7109375" style="335" customWidth="1"/>
    <col min="2103" max="2103" width="8.42578125" style="335" customWidth="1"/>
    <col min="2104" max="2304" width="9.140625" style="335"/>
    <col min="2305" max="2305" width="5" style="335" customWidth="1"/>
    <col min="2306" max="2306" width="59.5703125" style="335" customWidth="1"/>
    <col min="2307" max="2311" width="0" style="335" hidden="1" customWidth="1"/>
    <col min="2312" max="2312" width="7.5703125" style="335" customWidth="1"/>
    <col min="2313" max="2330" width="0" style="335" hidden="1" customWidth="1"/>
    <col min="2331" max="2331" width="7.5703125" style="335" customWidth="1"/>
    <col min="2332" max="2349" width="0" style="335" hidden="1" customWidth="1"/>
    <col min="2350" max="2350" width="7.5703125" style="335" customWidth="1"/>
    <col min="2351" max="2353" width="8" style="335" customWidth="1"/>
    <col min="2354" max="2354" width="8.28515625" style="335" customWidth="1"/>
    <col min="2355" max="2357" width="8.140625" style="335" customWidth="1"/>
    <col min="2358" max="2358" width="8.7109375" style="335" customWidth="1"/>
    <col min="2359" max="2359" width="8.42578125" style="335" customWidth="1"/>
    <col min="2360" max="2560" width="9.140625" style="335"/>
    <col min="2561" max="2561" width="5" style="335" customWidth="1"/>
    <col min="2562" max="2562" width="59.5703125" style="335" customWidth="1"/>
    <col min="2563" max="2567" width="0" style="335" hidden="1" customWidth="1"/>
    <col min="2568" max="2568" width="7.5703125" style="335" customWidth="1"/>
    <col min="2569" max="2586" width="0" style="335" hidden="1" customWidth="1"/>
    <col min="2587" max="2587" width="7.5703125" style="335" customWidth="1"/>
    <col min="2588" max="2605" width="0" style="335" hidden="1" customWidth="1"/>
    <col min="2606" max="2606" width="7.5703125" style="335" customWidth="1"/>
    <col min="2607" max="2609" width="8" style="335" customWidth="1"/>
    <col min="2610" max="2610" width="8.28515625" style="335" customWidth="1"/>
    <col min="2611" max="2613" width="8.140625" style="335" customWidth="1"/>
    <col min="2614" max="2614" width="8.7109375" style="335" customWidth="1"/>
    <col min="2615" max="2615" width="8.42578125" style="335" customWidth="1"/>
    <col min="2616" max="2816" width="9.140625" style="335"/>
    <col min="2817" max="2817" width="5" style="335" customWidth="1"/>
    <col min="2818" max="2818" width="59.5703125" style="335" customWidth="1"/>
    <col min="2819" max="2823" width="0" style="335" hidden="1" customWidth="1"/>
    <col min="2824" max="2824" width="7.5703125" style="335" customWidth="1"/>
    <col min="2825" max="2842" width="0" style="335" hidden="1" customWidth="1"/>
    <col min="2843" max="2843" width="7.5703125" style="335" customWidth="1"/>
    <col min="2844" max="2861" width="0" style="335" hidden="1" customWidth="1"/>
    <col min="2862" max="2862" width="7.5703125" style="335" customWidth="1"/>
    <col min="2863" max="2865" width="8" style="335" customWidth="1"/>
    <col min="2866" max="2866" width="8.28515625" style="335" customWidth="1"/>
    <col min="2867" max="2869" width="8.140625" style="335" customWidth="1"/>
    <col min="2870" max="2870" width="8.7109375" style="335" customWidth="1"/>
    <col min="2871" max="2871" width="8.42578125" style="335" customWidth="1"/>
    <col min="2872" max="3072" width="9.140625" style="335"/>
    <col min="3073" max="3073" width="5" style="335" customWidth="1"/>
    <col min="3074" max="3074" width="59.5703125" style="335" customWidth="1"/>
    <col min="3075" max="3079" width="0" style="335" hidden="1" customWidth="1"/>
    <col min="3080" max="3080" width="7.5703125" style="335" customWidth="1"/>
    <col min="3081" max="3098" width="0" style="335" hidden="1" customWidth="1"/>
    <col min="3099" max="3099" width="7.5703125" style="335" customWidth="1"/>
    <col min="3100" max="3117" width="0" style="335" hidden="1" customWidth="1"/>
    <col min="3118" max="3118" width="7.5703125" style="335" customWidth="1"/>
    <col min="3119" max="3121" width="8" style="335" customWidth="1"/>
    <col min="3122" max="3122" width="8.28515625" style="335" customWidth="1"/>
    <col min="3123" max="3125" width="8.140625" style="335" customWidth="1"/>
    <col min="3126" max="3126" width="8.7109375" style="335" customWidth="1"/>
    <col min="3127" max="3127" width="8.42578125" style="335" customWidth="1"/>
    <col min="3128" max="3328" width="9.140625" style="335"/>
    <col min="3329" max="3329" width="5" style="335" customWidth="1"/>
    <col min="3330" max="3330" width="59.5703125" style="335" customWidth="1"/>
    <col min="3331" max="3335" width="0" style="335" hidden="1" customWidth="1"/>
    <col min="3336" max="3336" width="7.5703125" style="335" customWidth="1"/>
    <col min="3337" max="3354" width="0" style="335" hidden="1" customWidth="1"/>
    <col min="3355" max="3355" width="7.5703125" style="335" customWidth="1"/>
    <col min="3356" max="3373" width="0" style="335" hidden="1" customWidth="1"/>
    <col min="3374" max="3374" width="7.5703125" style="335" customWidth="1"/>
    <col min="3375" max="3377" width="8" style="335" customWidth="1"/>
    <col min="3378" max="3378" width="8.28515625" style="335" customWidth="1"/>
    <col min="3379" max="3381" width="8.140625" style="335" customWidth="1"/>
    <col min="3382" max="3382" width="8.7109375" style="335" customWidth="1"/>
    <col min="3383" max="3383" width="8.42578125" style="335" customWidth="1"/>
    <col min="3384" max="3584" width="9.140625" style="335"/>
    <col min="3585" max="3585" width="5" style="335" customWidth="1"/>
    <col min="3586" max="3586" width="59.5703125" style="335" customWidth="1"/>
    <col min="3587" max="3591" width="0" style="335" hidden="1" customWidth="1"/>
    <col min="3592" max="3592" width="7.5703125" style="335" customWidth="1"/>
    <col min="3593" max="3610" width="0" style="335" hidden="1" customWidth="1"/>
    <col min="3611" max="3611" width="7.5703125" style="335" customWidth="1"/>
    <col min="3612" max="3629" width="0" style="335" hidden="1" customWidth="1"/>
    <col min="3630" max="3630" width="7.5703125" style="335" customWidth="1"/>
    <col min="3631" max="3633" width="8" style="335" customWidth="1"/>
    <col min="3634" max="3634" width="8.28515625" style="335" customWidth="1"/>
    <col min="3635" max="3637" width="8.140625" style="335" customWidth="1"/>
    <col min="3638" max="3638" width="8.7109375" style="335" customWidth="1"/>
    <col min="3639" max="3639" width="8.42578125" style="335" customWidth="1"/>
    <col min="3640" max="3840" width="9.140625" style="335"/>
    <col min="3841" max="3841" width="5" style="335" customWidth="1"/>
    <col min="3842" max="3842" width="59.5703125" style="335" customWidth="1"/>
    <col min="3843" max="3847" width="0" style="335" hidden="1" customWidth="1"/>
    <col min="3848" max="3848" width="7.5703125" style="335" customWidth="1"/>
    <col min="3849" max="3866" width="0" style="335" hidden="1" customWidth="1"/>
    <col min="3867" max="3867" width="7.5703125" style="335" customWidth="1"/>
    <col min="3868" max="3885" width="0" style="335" hidden="1" customWidth="1"/>
    <col min="3886" max="3886" width="7.5703125" style="335" customWidth="1"/>
    <col min="3887" max="3889" width="8" style="335" customWidth="1"/>
    <col min="3890" max="3890" width="8.28515625" style="335" customWidth="1"/>
    <col min="3891" max="3893" width="8.140625" style="335" customWidth="1"/>
    <col min="3894" max="3894" width="8.7109375" style="335" customWidth="1"/>
    <col min="3895" max="3895" width="8.42578125" style="335" customWidth="1"/>
    <col min="3896" max="4096" width="9.140625" style="335"/>
    <col min="4097" max="4097" width="5" style="335" customWidth="1"/>
    <col min="4098" max="4098" width="59.5703125" style="335" customWidth="1"/>
    <col min="4099" max="4103" width="0" style="335" hidden="1" customWidth="1"/>
    <col min="4104" max="4104" width="7.5703125" style="335" customWidth="1"/>
    <col min="4105" max="4122" width="0" style="335" hidden="1" customWidth="1"/>
    <col min="4123" max="4123" width="7.5703125" style="335" customWidth="1"/>
    <col min="4124" max="4141" width="0" style="335" hidden="1" customWidth="1"/>
    <col min="4142" max="4142" width="7.5703125" style="335" customWidth="1"/>
    <col min="4143" max="4145" width="8" style="335" customWidth="1"/>
    <col min="4146" max="4146" width="8.28515625" style="335" customWidth="1"/>
    <col min="4147" max="4149" width="8.140625" style="335" customWidth="1"/>
    <col min="4150" max="4150" width="8.7109375" style="335" customWidth="1"/>
    <col min="4151" max="4151" width="8.42578125" style="335" customWidth="1"/>
    <col min="4152" max="4352" width="9.140625" style="335"/>
    <col min="4353" max="4353" width="5" style="335" customWidth="1"/>
    <col min="4354" max="4354" width="59.5703125" style="335" customWidth="1"/>
    <col min="4355" max="4359" width="0" style="335" hidden="1" customWidth="1"/>
    <col min="4360" max="4360" width="7.5703125" style="335" customWidth="1"/>
    <col min="4361" max="4378" width="0" style="335" hidden="1" customWidth="1"/>
    <col min="4379" max="4379" width="7.5703125" style="335" customWidth="1"/>
    <col min="4380" max="4397" width="0" style="335" hidden="1" customWidth="1"/>
    <col min="4398" max="4398" width="7.5703125" style="335" customWidth="1"/>
    <col min="4399" max="4401" width="8" style="335" customWidth="1"/>
    <col min="4402" max="4402" width="8.28515625" style="335" customWidth="1"/>
    <col min="4403" max="4405" width="8.140625" style="335" customWidth="1"/>
    <col min="4406" max="4406" width="8.7109375" style="335" customWidth="1"/>
    <col min="4407" max="4407" width="8.42578125" style="335" customWidth="1"/>
    <col min="4408" max="4608" width="9.140625" style="335"/>
    <col min="4609" max="4609" width="5" style="335" customWidth="1"/>
    <col min="4610" max="4610" width="59.5703125" style="335" customWidth="1"/>
    <col min="4611" max="4615" width="0" style="335" hidden="1" customWidth="1"/>
    <col min="4616" max="4616" width="7.5703125" style="335" customWidth="1"/>
    <col min="4617" max="4634" width="0" style="335" hidden="1" customWidth="1"/>
    <col min="4635" max="4635" width="7.5703125" style="335" customWidth="1"/>
    <col min="4636" max="4653" width="0" style="335" hidden="1" customWidth="1"/>
    <col min="4654" max="4654" width="7.5703125" style="335" customWidth="1"/>
    <col min="4655" max="4657" width="8" style="335" customWidth="1"/>
    <col min="4658" max="4658" width="8.28515625" style="335" customWidth="1"/>
    <col min="4659" max="4661" width="8.140625" style="335" customWidth="1"/>
    <col min="4662" max="4662" width="8.7109375" style="335" customWidth="1"/>
    <col min="4663" max="4663" width="8.42578125" style="335" customWidth="1"/>
    <col min="4664" max="4864" width="9.140625" style="335"/>
    <col min="4865" max="4865" width="5" style="335" customWidth="1"/>
    <col min="4866" max="4866" width="59.5703125" style="335" customWidth="1"/>
    <col min="4867" max="4871" width="0" style="335" hidden="1" customWidth="1"/>
    <col min="4872" max="4872" width="7.5703125" style="335" customWidth="1"/>
    <col min="4873" max="4890" width="0" style="335" hidden="1" customWidth="1"/>
    <col min="4891" max="4891" width="7.5703125" style="335" customWidth="1"/>
    <col min="4892" max="4909" width="0" style="335" hidden="1" customWidth="1"/>
    <col min="4910" max="4910" width="7.5703125" style="335" customWidth="1"/>
    <col min="4911" max="4913" width="8" style="335" customWidth="1"/>
    <col min="4914" max="4914" width="8.28515625" style="335" customWidth="1"/>
    <col min="4915" max="4917" width="8.140625" style="335" customWidth="1"/>
    <col min="4918" max="4918" width="8.7109375" style="335" customWidth="1"/>
    <col min="4919" max="4919" width="8.42578125" style="335" customWidth="1"/>
    <col min="4920" max="5120" width="9.140625" style="335"/>
    <col min="5121" max="5121" width="5" style="335" customWidth="1"/>
    <col min="5122" max="5122" width="59.5703125" style="335" customWidth="1"/>
    <col min="5123" max="5127" width="0" style="335" hidden="1" customWidth="1"/>
    <col min="5128" max="5128" width="7.5703125" style="335" customWidth="1"/>
    <col min="5129" max="5146" width="0" style="335" hidden="1" customWidth="1"/>
    <col min="5147" max="5147" width="7.5703125" style="335" customWidth="1"/>
    <col min="5148" max="5165" width="0" style="335" hidden="1" customWidth="1"/>
    <col min="5166" max="5166" width="7.5703125" style="335" customWidth="1"/>
    <col min="5167" max="5169" width="8" style="335" customWidth="1"/>
    <col min="5170" max="5170" width="8.28515625" style="335" customWidth="1"/>
    <col min="5171" max="5173" width="8.140625" style="335" customWidth="1"/>
    <col min="5174" max="5174" width="8.7109375" style="335" customWidth="1"/>
    <col min="5175" max="5175" width="8.42578125" style="335" customWidth="1"/>
    <col min="5176" max="5376" width="9.140625" style="335"/>
    <col min="5377" max="5377" width="5" style="335" customWidth="1"/>
    <col min="5378" max="5378" width="59.5703125" style="335" customWidth="1"/>
    <col min="5379" max="5383" width="0" style="335" hidden="1" customWidth="1"/>
    <col min="5384" max="5384" width="7.5703125" style="335" customWidth="1"/>
    <col min="5385" max="5402" width="0" style="335" hidden="1" customWidth="1"/>
    <col min="5403" max="5403" width="7.5703125" style="335" customWidth="1"/>
    <col min="5404" max="5421" width="0" style="335" hidden="1" customWidth="1"/>
    <col min="5422" max="5422" width="7.5703125" style="335" customWidth="1"/>
    <col min="5423" max="5425" width="8" style="335" customWidth="1"/>
    <col min="5426" max="5426" width="8.28515625" style="335" customWidth="1"/>
    <col min="5427" max="5429" width="8.140625" style="335" customWidth="1"/>
    <col min="5430" max="5430" width="8.7109375" style="335" customWidth="1"/>
    <col min="5431" max="5431" width="8.42578125" style="335" customWidth="1"/>
    <col min="5432" max="5632" width="9.140625" style="335"/>
    <col min="5633" max="5633" width="5" style="335" customWidth="1"/>
    <col min="5634" max="5634" width="59.5703125" style="335" customWidth="1"/>
    <col min="5635" max="5639" width="0" style="335" hidden="1" customWidth="1"/>
    <col min="5640" max="5640" width="7.5703125" style="335" customWidth="1"/>
    <col min="5641" max="5658" width="0" style="335" hidden="1" customWidth="1"/>
    <col min="5659" max="5659" width="7.5703125" style="335" customWidth="1"/>
    <col min="5660" max="5677" width="0" style="335" hidden="1" customWidth="1"/>
    <col min="5678" max="5678" width="7.5703125" style="335" customWidth="1"/>
    <col min="5679" max="5681" width="8" style="335" customWidth="1"/>
    <col min="5682" max="5682" width="8.28515625" style="335" customWidth="1"/>
    <col min="5683" max="5685" width="8.140625" style="335" customWidth="1"/>
    <col min="5686" max="5686" width="8.7109375" style="335" customWidth="1"/>
    <col min="5687" max="5687" width="8.42578125" style="335" customWidth="1"/>
    <col min="5688" max="5888" width="9.140625" style="335"/>
    <col min="5889" max="5889" width="5" style="335" customWidth="1"/>
    <col min="5890" max="5890" width="59.5703125" style="335" customWidth="1"/>
    <col min="5891" max="5895" width="0" style="335" hidden="1" customWidth="1"/>
    <col min="5896" max="5896" width="7.5703125" style="335" customWidth="1"/>
    <col min="5897" max="5914" width="0" style="335" hidden="1" customWidth="1"/>
    <col min="5915" max="5915" width="7.5703125" style="335" customWidth="1"/>
    <col min="5916" max="5933" width="0" style="335" hidden="1" customWidth="1"/>
    <col min="5934" max="5934" width="7.5703125" style="335" customWidth="1"/>
    <col min="5935" max="5937" width="8" style="335" customWidth="1"/>
    <col min="5938" max="5938" width="8.28515625" style="335" customWidth="1"/>
    <col min="5939" max="5941" width="8.140625" style="335" customWidth="1"/>
    <col min="5942" max="5942" width="8.7109375" style="335" customWidth="1"/>
    <col min="5943" max="5943" width="8.42578125" style="335" customWidth="1"/>
    <col min="5944" max="6144" width="9.140625" style="335"/>
    <col min="6145" max="6145" width="5" style="335" customWidth="1"/>
    <col min="6146" max="6146" width="59.5703125" style="335" customWidth="1"/>
    <col min="6147" max="6151" width="0" style="335" hidden="1" customWidth="1"/>
    <col min="6152" max="6152" width="7.5703125" style="335" customWidth="1"/>
    <col min="6153" max="6170" width="0" style="335" hidden="1" customWidth="1"/>
    <col min="6171" max="6171" width="7.5703125" style="335" customWidth="1"/>
    <col min="6172" max="6189" width="0" style="335" hidden="1" customWidth="1"/>
    <col min="6190" max="6190" width="7.5703125" style="335" customWidth="1"/>
    <col min="6191" max="6193" width="8" style="335" customWidth="1"/>
    <col min="6194" max="6194" width="8.28515625" style="335" customWidth="1"/>
    <col min="6195" max="6197" width="8.140625" style="335" customWidth="1"/>
    <col min="6198" max="6198" width="8.7109375" style="335" customWidth="1"/>
    <col min="6199" max="6199" width="8.42578125" style="335" customWidth="1"/>
    <col min="6200" max="6400" width="9.140625" style="335"/>
    <col min="6401" max="6401" width="5" style="335" customWidth="1"/>
    <col min="6402" max="6402" width="59.5703125" style="335" customWidth="1"/>
    <col min="6403" max="6407" width="0" style="335" hidden="1" customWidth="1"/>
    <col min="6408" max="6408" width="7.5703125" style="335" customWidth="1"/>
    <col min="6409" max="6426" width="0" style="335" hidden="1" customWidth="1"/>
    <col min="6427" max="6427" width="7.5703125" style="335" customWidth="1"/>
    <col min="6428" max="6445" width="0" style="335" hidden="1" customWidth="1"/>
    <col min="6446" max="6446" width="7.5703125" style="335" customWidth="1"/>
    <col min="6447" max="6449" width="8" style="335" customWidth="1"/>
    <col min="6450" max="6450" width="8.28515625" style="335" customWidth="1"/>
    <col min="6451" max="6453" width="8.140625" style="335" customWidth="1"/>
    <col min="6454" max="6454" width="8.7109375" style="335" customWidth="1"/>
    <col min="6455" max="6455" width="8.42578125" style="335" customWidth="1"/>
    <col min="6456" max="6656" width="9.140625" style="335"/>
    <col min="6657" max="6657" width="5" style="335" customWidth="1"/>
    <col min="6658" max="6658" width="59.5703125" style="335" customWidth="1"/>
    <col min="6659" max="6663" width="0" style="335" hidden="1" customWidth="1"/>
    <col min="6664" max="6664" width="7.5703125" style="335" customWidth="1"/>
    <col min="6665" max="6682" width="0" style="335" hidden="1" customWidth="1"/>
    <col min="6683" max="6683" width="7.5703125" style="335" customWidth="1"/>
    <col min="6684" max="6701" width="0" style="335" hidden="1" customWidth="1"/>
    <col min="6702" max="6702" width="7.5703125" style="335" customWidth="1"/>
    <col min="6703" max="6705" width="8" style="335" customWidth="1"/>
    <col min="6706" max="6706" width="8.28515625" style="335" customWidth="1"/>
    <col min="6707" max="6709" width="8.140625" style="335" customWidth="1"/>
    <col min="6710" max="6710" width="8.7109375" style="335" customWidth="1"/>
    <col min="6711" max="6711" width="8.42578125" style="335" customWidth="1"/>
    <col min="6712" max="6912" width="9.140625" style="335"/>
    <col min="6913" max="6913" width="5" style="335" customWidth="1"/>
    <col min="6914" max="6914" width="59.5703125" style="335" customWidth="1"/>
    <col min="6915" max="6919" width="0" style="335" hidden="1" customWidth="1"/>
    <col min="6920" max="6920" width="7.5703125" style="335" customWidth="1"/>
    <col min="6921" max="6938" width="0" style="335" hidden="1" customWidth="1"/>
    <col min="6939" max="6939" width="7.5703125" style="335" customWidth="1"/>
    <col min="6940" max="6957" width="0" style="335" hidden="1" customWidth="1"/>
    <col min="6958" max="6958" width="7.5703125" style="335" customWidth="1"/>
    <col min="6959" max="6961" width="8" style="335" customWidth="1"/>
    <col min="6962" max="6962" width="8.28515625" style="335" customWidth="1"/>
    <col min="6963" max="6965" width="8.140625" style="335" customWidth="1"/>
    <col min="6966" max="6966" width="8.7109375" style="335" customWidth="1"/>
    <col min="6967" max="6967" width="8.42578125" style="335" customWidth="1"/>
    <col min="6968" max="7168" width="9.140625" style="335"/>
    <col min="7169" max="7169" width="5" style="335" customWidth="1"/>
    <col min="7170" max="7170" width="59.5703125" style="335" customWidth="1"/>
    <col min="7171" max="7175" width="0" style="335" hidden="1" customWidth="1"/>
    <col min="7176" max="7176" width="7.5703125" style="335" customWidth="1"/>
    <col min="7177" max="7194" width="0" style="335" hidden="1" customWidth="1"/>
    <col min="7195" max="7195" width="7.5703125" style="335" customWidth="1"/>
    <col min="7196" max="7213" width="0" style="335" hidden="1" customWidth="1"/>
    <col min="7214" max="7214" width="7.5703125" style="335" customWidth="1"/>
    <col min="7215" max="7217" width="8" style="335" customWidth="1"/>
    <col min="7218" max="7218" width="8.28515625" style="335" customWidth="1"/>
    <col min="7219" max="7221" width="8.140625" style="335" customWidth="1"/>
    <col min="7222" max="7222" width="8.7109375" style="335" customWidth="1"/>
    <col min="7223" max="7223" width="8.42578125" style="335" customWidth="1"/>
    <col min="7224" max="7424" width="9.140625" style="335"/>
    <col min="7425" max="7425" width="5" style="335" customWidth="1"/>
    <col min="7426" max="7426" width="59.5703125" style="335" customWidth="1"/>
    <col min="7427" max="7431" width="0" style="335" hidden="1" customWidth="1"/>
    <col min="7432" max="7432" width="7.5703125" style="335" customWidth="1"/>
    <col min="7433" max="7450" width="0" style="335" hidden="1" customWidth="1"/>
    <col min="7451" max="7451" width="7.5703125" style="335" customWidth="1"/>
    <col min="7452" max="7469" width="0" style="335" hidden="1" customWidth="1"/>
    <col min="7470" max="7470" width="7.5703125" style="335" customWidth="1"/>
    <col min="7471" max="7473" width="8" style="335" customWidth="1"/>
    <col min="7474" max="7474" width="8.28515625" style="335" customWidth="1"/>
    <col min="7475" max="7477" width="8.140625" style="335" customWidth="1"/>
    <col min="7478" max="7478" width="8.7109375" style="335" customWidth="1"/>
    <col min="7479" max="7479" width="8.42578125" style="335" customWidth="1"/>
    <col min="7480" max="7680" width="9.140625" style="335"/>
    <col min="7681" max="7681" width="5" style="335" customWidth="1"/>
    <col min="7682" max="7682" width="59.5703125" style="335" customWidth="1"/>
    <col min="7683" max="7687" width="0" style="335" hidden="1" customWidth="1"/>
    <col min="7688" max="7688" width="7.5703125" style="335" customWidth="1"/>
    <col min="7689" max="7706" width="0" style="335" hidden="1" customWidth="1"/>
    <col min="7707" max="7707" width="7.5703125" style="335" customWidth="1"/>
    <col min="7708" max="7725" width="0" style="335" hidden="1" customWidth="1"/>
    <col min="7726" max="7726" width="7.5703125" style="335" customWidth="1"/>
    <col min="7727" max="7729" width="8" style="335" customWidth="1"/>
    <col min="7730" max="7730" width="8.28515625" style="335" customWidth="1"/>
    <col min="7731" max="7733" width="8.140625" style="335" customWidth="1"/>
    <col min="7734" max="7734" width="8.7109375" style="335" customWidth="1"/>
    <col min="7735" max="7735" width="8.42578125" style="335" customWidth="1"/>
    <col min="7736" max="7936" width="9.140625" style="335"/>
    <col min="7937" max="7937" width="5" style="335" customWidth="1"/>
    <col min="7938" max="7938" width="59.5703125" style="335" customWidth="1"/>
    <col min="7939" max="7943" width="0" style="335" hidden="1" customWidth="1"/>
    <col min="7944" max="7944" width="7.5703125" style="335" customWidth="1"/>
    <col min="7945" max="7962" width="0" style="335" hidden="1" customWidth="1"/>
    <col min="7963" max="7963" width="7.5703125" style="335" customWidth="1"/>
    <col min="7964" max="7981" width="0" style="335" hidden="1" customWidth="1"/>
    <col min="7982" max="7982" width="7.5703125" style="335" customWidth="1"/>
    <col min="7983" max="7985" width="8" style="335" customWidth="1"/>
    <col min="7986" max="7986" width="8.28515625" style="335" customWidth="1"/>
    <col min="7987" max="7989" width="8.140625" style="335" customWidth="1"/>
    <col min="7990" max="7990" width="8.7109375" style="335" customWidth="1"/>
    <col min="7991" max="7991" width="8.42578125" style="335" customWidth="1"/>
    <col min="7992" max="8192" width="9.140625" style="335"/>
    <col min="8193" max="8193" width="5" style="335" customWidth="1"/>
    <col min="8194" max="8194" width="59.5703125" style="335" customWidth="1"/>
    <col min="8195" max="8199" width="0" style="335" hidden="1" customWidth="1"/>
    <col min="8200" max="8200" width="7.5703125" style="335" customWidth="1"/>
    <col min="8201" max="8218" width="0" style="335" hidden="1" customWidth="1"/>
    <col min="8219" max="8219" width="7.5703125" style="335" customWidth="1"/>
    <col min="8220" max="8237" width="0" style="335" hidden="1" customWidth="1"/>
    <col min="8238" max="8238" width="7.5703125" style="335" customWidth="1"/>
    <col min="8239" max="8241" width="8" style="335" customWidth="1"/>
    <col min="8242" max="8242" width="8.28515625" style="335" customWidth="1"/>
    <col min="8243" max="8245" width="8.140625" style="335" customWidth="1"/>
    <col min="8246" max="8246" width="8.7109375" style="335" customWidth="1"/>
    <col min="8247" max="8247" width="8.42578125" style="335" customWidth="1"/>
    <col min="8248" max="8448" width="9.140625" style="335"/>
    <col min="8449" max="8449" width="5" style="335" customWidth="1"/>
    <col min="8450" max="8450" width="59.5703125" style="335" customWidth="1"/>
    <col min="8451" max="8455" width="0" style="335" hidden="1" customWidth="1"/>
    <col min="8456" max="8456" width="7.5703125" style="335" customWidth="1"/>
    <col min="8457" max="8474" width="0" style="335" hidden="1" customWidth="1"/>
    <col min="8475" max="8475" width="7.5703125" style="335" customWidth="1"/>
    <col min="8476" max="8493" width="0" style="335" hidden="1" customWidth="1"/>
    <col min="8494" max="8494" width="7.5703125" style="335" customWidth="1"/>
    <col min="8495" max="8497" width="8" style="335" customWidth="1"/>
    <col min="8498" max="8498" width="8.28515625" style="335" customWidth="1"/>
    <col min="8499" max="8501" width="8.140625" style="335" customWidth="1"/>
    <col min="8502" max="8502" width="8.7109375" style="335" customWidth="1"/>
    <col min="8503" max="8503" width="8.42578125" style="335" customWidth="1"/>
    <col min="8504" max="8704" width="9.140625" style="335"/>
    <col min="8705" max="8705" width="5" style="335" customWidth="1"/>
    <col min="8706" max="8706" width="59.5703125" style="335" customWidth="1"/>
    <col min="8707" max="8711" width="0" style="335" hidden="1" customWidth="1"/>
    <col min="8712" max="8712" width="7.5703125" style="335" customWidth="1"/>
    <col min="8713" max="8730" width="0" style="335" hidden="1" customWidth="1"/>
    <col min="8731" max="8731" width="7.5703125" style="335" customWidth="1"/>
    <col min="8732" max="8749" width="0" style="335" hidden="1" customWidth="1"/>
    <col min="8750" max="8750" width="7.5703125" style="335" customWidth="1"/>
    <col min="8751" max="8753" width="8" style="335" customWidth="1"/>
    <col min="8754" max="8754" width="8.28515625" style="335" customWidth="1"/>
    <col min="8755" max="8757" width="8.140625" style="335" customWidth="1"/>
    <col min="8758" max="8758" width="8.7109375" style="335" customWidth="1"/>
    <col min="8759" max="8759" width="8.42578125" style="335" customWidth="1"/>
    <col min="8760" max="8960" width="9.140625" style="335"/>
    <col min="8961" max="8961" width="5" style="335" customWidth="1"/>
    <col min="8962" max="8962" width="59.5703125" style="335" customWidth="1"/>
    <col min="8963" max="8967" width="0" style="335" hidden="1" customWidth="1"/>
    <col min="8968" max="8968" width="7.5703125" style="335" customWidth="1"/>
    <col min="8969" max="8986" width="0" style="335" hidden="1" customWidth="1"/>
    <col min="8987" max="8987" width="7.5703125" style="335" customWidth="1"/>
    <col min="8988" max="9005" width="0" style="335" hidden="1" customWidth="1"/>
    <col min="9006" max="9006" width="7.5703125" style="335" customWidth="1"/>
    <col min="9007" max="9009" width="8" style="335" customWidth="1"/>
    <col min="9010" max="9010" width="8.28515625" style="335" customWidth="1"/>
    <col min="9011" max="9013" width="8.140625" style="335" customWidth="1"/>
    <col min="9014" max="9014" width="8.7109375" style="335" customWidth="1"/>
    <col min="9015" max="9015" width="8.42578125" style="335" customWidth="1"/>
    <col min="9016" max="9216" width="9.140625" style="335"/>
    <col min="9217" max="9217" width="5" style="335" customWidth="1"/>
    <col min="9218" max="9218" width="59.5703125" style="335" customWidth="1"/>
    <col min="9219" max="9223" width="0" style="335" hidden="1" customWidth="1"/>
    <col min="9224" max="9224" width="7.5703125" style="335" customWidth="1"/>
    <col min="9225" max="9242" width="0" style="335" hidden="1" customWidth="1"/>
    <col min="9243" max="9243" width="7.5703125" style="335" customWidth="1"/>
    <col min="9244" max="9261" width="0" style="335" hidden="1" customWidth="1"/>
    <col min="9262" max="9262" width="7.5703125" style="335" customWidth="1"/>
    <col min="9263" max="9265" width="8" style="335" customWidth="1"/>
    <col min="9266" max="9266" width="8.28515625" style="335" customWidth="1"/>
    <col min="9267" max="9269" width="8.140625" style="335" customWidth="1"/>
    <col min="9270" max="9270" width="8.7109375" style="335" customWidth="1"/>
    <col min="9271" max="9271" width="8.42578125" style="335" customWidth="1"/>
    <col min="9272" max="9472" width="9.140625" style="335"/>
    <col min="9473" max="9473" width="5" style="335" customWidth="1"/>
    <col min="9474" max="9474" width="59.5703125" style="335" customWidth="1"/>
    <col min="9475" max="9479" width="0" style="335" hidden="1" customWidth="1"/>
    <col min="9480" max="9480" width="7.5703125" style="335" customWidth="1"/>
    <col min="9481" max="9498" width="0" style="335" hidden="1" customWidth="1"/>
    <col min="9499" max="9499" width="7.5703125" style="335" customWidth="1"/>
    <col min="9500" max="9517" width="0" style="335" hidden="1" customWidth="1"/>
    <col min="9518" max="9518" width="7.5703125" style="335" customWidth="1"/>
    <col min="9519" max="9521" width="8" style="335" customWidth="1"/>
    <col min="9522" max="9522" width="8.28515625" style="335" customWidth="1"/>
    <col min="9523" max="9525" width="8.140625" style="335" customWidth="1"/>
    <col min="9526" max="9526" width="8.7109375" style="335" customWidth="1"/>
    <col min="9527" max="9527" width="8.42578125" style="335" customWidth="1"/>
    <col min="9528" max="9728" width="9.140625" style="335"/>
    <col min="9729" max="9729" width="5" style="335" customWidth="1"/>
    <col min="9730" max="9730" width="59.5703125" style="335" customWidth="1"/>
    <col min="9731" max="9735" width="0" style="335" hidden="1" customWidth="1"/>
    <col min="9736" max="9736" width="7.5703125" style="335" customWidth="1"/>
    <col min="9737" max="9754" width="0" style="335" hidden="1" customWidth="1"/>
    <col min="9755" max="9755" width="7.5703125" style="335" customWidth="1"/>
    <col min="9756" max="9773" width="0" style="335" hidden="1" customWidth="1"/>
    <col min="9774" max="9774" width="7.5703125" style="335" customWidth="1"/>
    <col min="9775" max="9777" width="8" style="335" customWidth="1"/>
    <col min="9778" max="9778" width="8.28515625" style="335" customWidth="1"/>
    <col min="9779" max="9781" width="8.140625" style="335" customWidth="1"/>
    <col min="9782" max="9782" width="8.7109375" style="335" customWidth="1"/>
    <col min="9783" max="9783" width="8.42578125" style="335" customWidth="1"/>
    <col min="9784" max="9984" width="9.140625" style="335"/>
    <col min="9985" max="9985" width="5" style="335" customWidth="1"/>
    <col min="9986" max="9986" width="59.5703125" style="335" customWidth="1"/>
    <col min="9987" max="9991" width="0" style="335" hidden="1" customWidth="1"/>
    <col min="9992" max="9992" width="7.5703125" style="335" customWidth="1"/>
    <col min="9993" max="10010" width="0" style="335" hidden="1" customWidth="1"/>
    <col min="10011" max="10011" width="7.5703125" style="335" customWidth="1"/>
    <col min="10012" max="10029" width="0" style="335" hidden="1" customWidth="1"/>
    <col min="10030" max="10030" width="7.5703125" style="335" customWidth="1"/>
    <col min="10031" max="10033" width="8" style="335" customWidth="1"/>
    <col min="10034" max="10034" width="8.28515625" style="335" customWidth="1"/>
    <col min="10035" max="10037" width="8.140625" style="335" customWidth="1"/>
    <col min="10038" max="10038" width="8.7109375" style="335" customWidth="1"/>
    <col min="10039" max="10039" width="8.42578125" style="335" customWidth="1"/>
    <col min="10040" max="10240" width="9.140625" style="335"/>
    <col min="10241" max="10241" width="5" style="335" customWidth="1"/>
    <col min="10242" max="10242" width="59.5703125" style="335" customWidth="1"/>
    <col min="10243" max="10247" width="0" style="335" hidden="1" customWidth="1"/>
    <col min="10248" max="10248" width="7.5703125" style="335" customWidth="1"/>
    <col min="10249" max="10266" width="0" style="335" hidden="1" customWidth="1"/>
    <col min="10267" max="10267" width="7.5703125" style="335" customWidth="1"/>
    <col min="10268" max="10285" width="0" style="335" hidden="1" customWidth="1"/>
    <col min="10286" max="10286" width="7.5703125" style="335" customWidth="1"/>
    <col min="10287" max="10289" width="8" style="335" customWidth="1"/>
    <col min="10290" max="10290" width="8.28515625" style="335" customWidth="1"/>
    <col min="10291" max="10293" width="8.140625" style="335" customWidth="1"/>
    <col min="10294" max="10294" width="8.7109375" style="335" customWidth="1"/>
    <col min="10295" max="10295" width="8.42578125" style="335" customWidth="1"/>
    <col min="10296" max="10496" width="9.140625" style="335"/>
    <col min="10497" max="10497" width="5" style="335" customWidth="1"/>
    <col min="10498" max="10498" width="59.5703125" style="335" customWidth="1"/>
    <col min="10499" max="10503" width="0" style="335" hidden="1" customWidth="1"/>
    <col min="10504" max="10504" width="7.5703125" style="335" customWidth="1"/>
    <col min="10505" max="10522" width="0" style="335" hidden="1" customWidth="1"/>
    <col min="10523" max="10523" width="7.5703125" style="335" customWidth="1"/>
    <col min="10524" max="10541" width="0" style="335" hidden="1" customWidth="1"/>
    <col min="10542" max="10542" width="7.5703125" style="335" customWidth="1"/>
    <col min="10543" max="10545" width="8" style="335" customWidth="1"/>
    <col min="10546" max="10546" width="8.28515625" style="335" customWidth="1"/>
    <col min="10547" max="10549" width="8.140625" style="335" customWidth="1"/>
    <col min="10550" max="10550" width="8.7109375" style="335" customWidth="1"/>
    <col min="10551" max="10551" width="8.42578125" style="335" customWidth="1"/>
    <col min="10552" max="10752" width="9.140625" style="335"/>
    <col min="10753" max="10753" width="5" style="335" customWidth="1"/>
    <col min="10754" max="10754" width="59.5703125" style="335" customWidth="1"/>
    <col min="10755" max="10759" width="0" style="335" hidden="1" customWidth="1"/>
    <col min="10760" max="10760" width="7.5703125" style="335" customWidth="1"/>
    <col min="10761" max="10778" width="0" style="335" hidden="1" customWidth="1"/>
    <col min="10779" max="10779" width="7.5703125" style="335" customWidth="1"/>
    <col min="10780" max="10797" width="0" style="335" hidden="1" customWidth="1"/>
    <col min="10798" max="10798" width="7.5703125" style="335" customWidth="1"/>
    <col min="10799" max="10801" width="8" style="335" customWidth="1"/>
    <col min="10802" max="10802" width="8.28515625" style="335" customWidth="1"/>
    <col min="10803" max="10805" width="8.140625" style="335" customWidth="1"/>
    <col min="10806" max="10806" width="8.7109375" style="335" customWidth="1"/>
    <col min="10807" max="10807" width="8.42578125" style="335" customWidth="1"/>
    <col min="10808" max="11008" width="9.140625" style="335"/>
    <col min="11009" max="11009" width="5" style="335" customWidth="1"/>
    <col min="11010" max="11010" width="59.5703125" style="335" customWidth="1"/>
    <col min="11011" max="11015" width="0" style="335" hidden="1" customWidth="1"/>
    <col min="11016" max="11016" width="7.5703125" style="335" customWidth="1"/>
    <col min="11017" max="11034" width="0" style="335" hidden="1" customWidth="1"/>
    <col min="11035" max="11035" width="7.5703125" style="335" customWidth="1"/>
    <col min="11036" max="11053" width="0" style="335" hidden="1" customWidth="1"/>
    <col min="11054" max="11054" width="7.5703125" style="335" customWidth="1"/>
    <col min="11055" max="11057" width="8" style="335" customWidth="1"/>
    <col min="11058" max="11058" width="8.28515625" style="335" customWidth="1"/>
    <col min="11059" max="11061" width="8.140625" style="335" customWidth="1"/>
    <col min="11062" max="11062" width="8.7109375" style="335" customWidth="1"/>
    <col min="11063" max="11063" width="8.42578125" style="335" customWidth="1"/>
    <col min="11064" max="11264" width="9.140625" style="335"/>
    <col min="11265" max="11265" width="5" style="335" customWidth="1"/>
    <col min="11266" max="11266" width="59.5703125" style="335" customWidth="1"/>
    <col min="11267" max="11271" width="0" style="335" hidden="1" customWidth="1"/>
    <col min="11272" max="11272" width="7.5703125" style="335" customWidth="1"/>
    <col min="11273" max="11290" width="0" style="335" hidden="1" customWidth="1"/>
    <col min="11291" max="11291" width="7.5703125" style="335" customWidth="1"/>
    <col min="11292" max="11309" width="0" style="335" hidden="1" customWidth="1"/>
    <col min="11310" max="11310" width="7.5703125" style="335" customWidth="1"/>
    <col min="11311" max="11313" width="8" style="335" customWidth="1"/>
    <col min="11314" max="11314" width="8.28515625" style="335" customWidth="1"/>
    <col min="11315" max="11317" width="8.140625" style="335" customWidth="1"/>
    <col min="11318" max="11318" width="8.7109375" style="335" customWidth="1"/>
    <col min="11319" max="11319" width="8.42578125" style="335" customWidth="1"/>
    <col min="11320" max="11520" width="9.140625" style="335"/>
    <col min="11521" max="11521" width="5" style="335" customWidth="1"/>
    <col min="11522" max="11522" width="59.5703125" style="335" customWidth="1"/>
    <col min="11523" max="11527" width="0" style="335" hidden="1" customWidth="1"/>
    <col min="11528" max="11528" width="7.5703125" style="335" customWidth="1"/>
    <col min="11529" max="11546" width="0" style="335" hidden="1" customWidth="1"/>
    <col min="11547" max="11547" width="7.5703125" style="335" customWidth="1"/>
    <col min="11548" max="11565" width="0" style="335" hidden="1" customWidth="1"/>
    <col min="11566" max="11566" width="7.5703125" style="335" customWidth="1"/>
    <col min="11567" max="11569" width="8" style="335" customWidth="1"/>
    <col min="11570" max="11570" width="8.28515625" style="335" customWidth="1"/>
    <col min="11571" max="11573" width="8.140625" style="335" customWidth="1"/>
    <col min="11574" max="11574" width="8.7109375" style="335" customWidth="1"/>
    <col min="11575" max="11575" width="8.42578125" style="335" customWidth="1"/>
    <col min="11576" max="11776" width="9.140625" style="335"/>
    <col min="11777" max="11777" width="5" style="335" customWidth="1"/>
    <col min="11778" max="11778" width="59.5703125" style="335" customWidth="1"/>
    <col min="11779" max="11783" width="0" style="335" hidden="1" customWidth="1"/>
    <col min="11784" max="11784" width="7.5703125" style="335" customWidth="1"/>
    <col min="11785" max="11802" width="0" style="335" hidden="1" customWidth="1"/>
    <col min="11803" max="11803" width="7.5703125" style="335" customWidth="1"/>
    <col min="11804" max="11821" width="0" style="335" hidden="1" customWidth="1"/>
    <col min="11822" max="11822" width="7.5703125" style="335" customWidth="1"/>
    <col min="11823" max="11825" width="8" style="335" customWidth="1"/>
    <col min="11826" max="11826" width="8.28515625" style="335" customWidth="1"/>
    <col min="11827" max="11829" width="8.140625" style="335" customWidth="1"/>
    <col min="11830" max="11830" width="8.7109375" style="335" customWidth="1"/>
    <col min="11831" max="11831" width="8.42578125" style="335" customWidth="1"/>
    <col min="11832" max="12032" width="9.140625" style="335"/>
    <col min="12033" max="12033" width="5" style="335" customWidth="1"/>
    <col min="12034" max="12034" width="59.5703125" style="335" customWidth="1"/>
    <col min="12035" max="12039" width="0" style="335" hidden="1" customWidth="1"/>
    <col min="12040" max="12040" width="7.5703125" style="335" customWidth="1"/>
    <col min="12041" max="12058" width="0" style="335" hidden="1" customWidth="1"/>
    <col min="12059" max="12059" width="7.5703125" style="335" customWidth="1"/>
    <col min="12060" max="12077" width="0" style="335" hidden="1" customWidth="1"/>
    <col min="12078" max="12078" width="7.5703125" style="335" customWidth="1"/>
    <col min="12079" max="12081" width="8" style="335" customWidth="1"/>
    <col min="12082" max="12082" width="8.28515625" style="335" customWidth="1"/>
    <col min="12083" max="12085" width="8.140625" style="335" customWidth="1"/>
    <col min="12086" max="12086" width="8.7109375" style="335" customWidth="1"/>
    <col min="12087" max="12087" width="8.42578125" style="335" customWidth="1"/>
    <col min="12088" max="12288" width="9.140625" style="335"/>
    <col min="12289" max="12289" width="5" style="335" customWidth="1"/>
    <col min="12290" max="12290" width="59.5703125" style="335" customWidth="1"/>
    <col min="12291" max="12295" width="0" style="335" hidden="1" customWidth="1"/>
    <col min="12296" max="12296" width="7.5703125" style="335" customWidth="1"/>
    <col min="12297" max="12314" width="0" style="335" hidden="1" customWidth="1"/>
    <col min="12315" max="12315" width="7.5703125" style="335" customWidth="1"/>
    <col min="12316" max="12333" width="0" style="335" hidden="1" customWidth="1"/>
    <col min="12334" max="12334" width="7.5703125" style="335" customWidth="1"/>
    <col min="12335" max="12337" width="8" style="335" customWidth="1"/>
    <col min="12338" max="12338" width="8.28515625" style="335" customWidth="1"/>
    <col min="12339" max="12341" width="8.140625" style="335" customWidth="1"/>
    <col min="12342" max="12342" width="8.7109375" style="335" customWidth="1"/>
    <col min="12343" max="12343" width="8.42578125" style="335" customWidth="1"/>
    <col min="12344" max="12544" width="9.140625" style="335"/>
    <col min="12545" max="12545" width="5" style="335" customWidth="1"/>
    <col min="12546" max="12546" width="59.5703125" style="335" customWidth="1"/>
    <col min="12547" max="12551" width="0" style="335" hidden="1" customWidth="1"/>
    <col min="12552" max="12552" width="7.5703125" style="335" customWidth="1"/>
    <col min="12553" max="12570" width="0" style="335" hidden="1" customWidth="1"/>
    <col min="12571" max="12571" width="7.5703125" style="335" customWidth="1"/>
    <col min="12572" max="12589" width="0" style="335" hidden="1" customWidth="1"/>
    <col min="12590" max="12590" width="7.5703125" style="335" customWidth="1"/>
    <col min="12591" max="12593" width="8" style="335" customWidth="1"/>
    <col min="12594" max="12594" width="8.28515625" style="335" customWidth="1"/>
    <col min="12595" max="12597" width="8.140625" style="335" customWidth="1"/>
    <col min="12598" max="12598" width="8.7109375" style="335" customWidth="1"/>
    <col min="12599" max="12599" width="8.42578125" style="335" customWidth="1"/>
    <col min="12600" max="12800" width="9.140625" style="335"/>
    <col min="12801" max="12801" width="5" style="335" customWidth="1"/>
    <col min="12802" max="12802" width="59.5703125" style="335" customWidth="1"/>
    <col min="12803" max="12807" width="0" style="335" hidden="1" customWidth="1"/>
    <col min="12808" max="12808" width="7.5703125" style="335" customWidth="1"/>
    <col min="12809" max="12826" width="0" style="335" hidden="1" customWidth="1"/>
    <col min="12827" max="12827" width="7.5703125" style="335" customWidth="1"/>
    <col min="12828" max="12845" width="0" style="335" hidden="1" customWidth="1"/>
    <col min="12846" max="12846" width="7.5703125" style="335" customWidth="1"/>
    <col min="12847" max="12849" width="8" style="335" customWidth="1"/>
    <col min="12850" max="12850" width="8.28515625" style="335" customWidth="1"/>
    <col min="12851" max="12853" width="8.140625" style="335" customWidth="1"/>
    <col min="12854" max="12854" width="8.7109375" style="335" customWidth="1"/>
    <col min="12855" max="12855" width="8.42578125" style="335" customWidth="1"/>
    <col min="12856" max="13056" width="9.140625" style="335"/>
    <col min="13057" max="13057" width="5" style="335" customWidth="1"/>
    <col min="13058" max="13058" width="59.5703125" style="335" customWidth="1"/>
    <col min="13059" max="13063" width="0" style="335" hidden="1" customWidth="1"/>
    <col min="13064" max="13064" width="7.5703125" style="335" customWidth="1"/>
    <col min="13065" max="13082" width="0" style="335" hidden="1" customWidth="1"/>
    <col min="13083" max="13083" width="7.5703125" style="335" customWidth="1"/>
    <col min="13084" max="13101" width="0" style="335" hidden="1" customWidth="1"/>
    <col min="13102" max="13102" width="7.5703125" style="335" customWidth="1"/>
    <col min="13103" max="13105" width="8" style="335" customWidth="1"/>
    <col min="13106" max="13106" width="8.28515625" style="335" customWidth="1"/>
    <col min="13107" max="13109" width="8.140625" style="335" customWidth="1"/>
    <col min="13110" max="13110" width="8.7109375" style="335" customWidth="1"/>
    <col min="13111" max="13111" width="8.42578125" style="335" customWidth="1"/>
    <col min="13112" max="13312" width="9.140625" style="335"/>
    <col min="13313" max="13313" width="5" style="335" customWidth="1"/>
    <col min="13314" max="13314" width="59.5703125" style="335" customWidth="1"/>
    <col min="13315" max="13319" width="0" style="335" hidden="1" customWidth="1"/>
    <col min="13320" max="13320" width="7.5703125" style="335" customWidth="1"/>
    <col min="13321" max="13338" width="0" style="335" hidden="1" customWidth="1"/>
    <col min="13339" max="13339" width="7.5703125" style="335" customWidth="1"/>
    <col min="13340" max="13357" width="0" style="335" hidden="1" customWidth="1"/>
    <col min="13358" max="13358" width="7.5703125" style="335" customWidth="1"/>
    <col min="13359" max="13361" width="8" style="335" customWidth="1"/>
    <col min="13362" max="13362" width="8.28515625" style="335" customWidth="1"/>
    <col min="13363" max="13365" width="8.140625" style="335" customWidth="1"/>
    <col min="13366" max="13366" width="8.7109375" style="335" customWidth="1"/>
    <col min="13367" max="13367" width="8.42578125" style="335" customWidth="1"/>
    <col min="13368" max="13568" width="9.140625" style="335"/>
    <col min="13569" max="13569" width="5" style="335" customWidth="1"/>
    <col min="13570" max="13570" width="59.5703125" style="335" customWidth="1"/>
    <col min="13571" max="13575" width="0" style="335" hidden="1" customWidth="1"/>
    <col min="13576" max="13576" width="7.5703125" style="335" customWidth="1"/>
    <col min="13577" max="13594" width="0" style="335" hidden="1" customWidth="1"/>
    <col min="13595" max="13595" width="7.5703125" style="335" customWidth="1"/>
    <col min="13596" max="13613" width="0" style="335" hidden="1" customWidth="1"/>
    <col min="13614" max="13614" width="7.5703125" style="335" customWidth="1"/>
    <col min="13615" max="13617" width="8" style="335" customWidth="1"/>
    <col min="13618" max="13618" width="8.28515625" style="335" customWidth="1"/>
    <col min="13619" max="13621" width="8.140625" style="335" customWidth="1"/>
    <col min="13622" max="13622" width="8.7109375" style="335" customWidth="1"/>
    <col min="13623" max="13623" width="8.42578125" style="335" customWidth="1"/>
    <col min="13624" max="13824" width="9.140625" style="335"/>
    <col min="13825" max="13825" width="5" style="335" customWidth="1"/>
    <col min="13826" max="13826" width="59.5703125" style="335" customWidth="1"/>
    <col min="13827" max="13831" width="0" style="335" hidden="1" customWidth="1"/>
    <col min="13832" max="13832" width="7.5703125" style="335" customWidth="1"/>
    <col min="13833" max="13850" width="0" style="335" hidden="1" customWidth="1"/>
    <col min="13851" max="13851" width="7.5703125" style="335" customWidth="1"/>
    <col min="13852" max="13869" width="0" style="335" hidden="1" customWidth="1"/>
    <col min="13870" max="13870" width="7.5703125" style="335" customWidth="1"/>
    <col min="13871" max="13873" width="8" style="335" customWidth="1"/>
    <col min="13874" max="13874" width="8.28515625" style="335" customWidth="1"/>
    <col min="13875" max="13877" width="8.140625" style="335" customWidth="1"/>
    <col min="13878" max="13878" width="8.7109375" style="335" customWidth="1"/>
    <col min="13879" max="13879" width="8.42578125" style="335" customWidth="1"/>
    <col min="13880" max="14080" width="9.140625" style="335"/>
    <col min="14081" max="14081" width="5" style="335" customWidth="1"/>
    <col min="14082" max="14082" width="59.5703125" style="335" customWidth="1"/>
    <col min="14083" max="14087" width="0" style="335" hidden="1" customWidth="1"/>
    <col min="14088" max="14088" width="7.5703125" style="335" customWidth="1"/>
    <col min="14089" max="14106" width="0" style="335" hidden="1" customWidth="1"/>
    <col min="14107" max="14107" width="7.5703125" style="335" customWidth="1"/>
    <col min="14108" max="14125" width="0" style="335" hidden="1" customWidth="1"/>
    <col min="14126" max="14126" width="7.5703125" style="335" customWidth="1"/>
    <col min="14127" max="14129" width="8" style="335" customWidth="1"/>
    <col min="14130" max="14130" width="8.28515625" style="335" customWidth="1"/>
    <col min="14131" max="14133" width="8.140625" style="335" customWidth="1"/>
    <col min="14134" max="14134" width="8.7109375" style="335" customWidth="1"/>
    <col min="14135" max="14135" width="8.42578125" style="335" customWidth="1"/>
    <col min="14136" max="14336" width="9.140625" style="335"/>
    <col min="14337" max="14337" width="5" style="335" customWidth="1"/>
    <col min="14338" max="14338" width="59.5703125" style="335" customWidth="1"/>
    <col min="14339" max="14343" width="0" style="335" hidden="1" customWidth="1"/>
    <col min="14344" max="14344" width="7.5703125" style="335" customWidth="1"/>
    <col min="14345" max="14362" width="0" style="335" hidden="1" customWidth="1"/>
    <col min="14363" max="14363" width="7.5703125" style="335" customWidth="1"/>
    <col min="14364" max="14381" width="0" style="335" hidden="1" customWidth="1"/>
    <col min="14382" max="14382" width="7.5703125" style="335" customWidth="1"/>
    <col min="14383" max="14385" width="8" style="335" customWidth="1"/>
    <col min="14386" max="14386" width="8.28515625" style="335" customWidth="1"/>
    <col min="14387" max="14389" width="8.140625" style="335" customWidth="1"/>
    <col min="14390" max="14390" width="8.7109375" style="335" customWidth="1"/>
    <col min="14391" max="14391" width="8.42578125" style="335" customWidth="1"/>
    <col min="14392" max="14592" width="9.140625" style="335"/>
    <col min="14593" max="14593" width="5" style="335" customWidth="1"/>
    <col min="14594" max="14594" width="59.5703125" style="335" customWidth="1"/>
    <col min="14595" max="14599" width="0" style="335" hidden="1" customWidth="1"/>
    <col min="14600" max="14600" width="7.5703125" style="335" customWidth="1"/>
    <col min="14601" max="14618" width="0" style="335" hidden="1" customWidth="1"/>
    <col min="14619" max="14619" width="7.5703125" style="335" customWidth="1"/>
    <col min="14620" max="14637" width="0" style="335" hidden="1" customWidth="1"/>
    <col min="14638" max="14638" width="7.5703125" style="335" customWidth="1"/>
    <col min="14639" max="14641" width="8" style="335" customWidth="1"/>
    <col min="14642" max="14642" width="8.28515625" style="335" customWidth="1"/>
    <col min="14643" max="14645" width="8.140625" style="335" customWidth="1"/>
    <col min="14646" max="14646" width="8.7109375" style="335" customWidth="1"/>
    <col min="14647" max="14647" width="8.42578125" style="335" customWidth="1"/>
    <col min="14648" max="14848" width="9.140625" style="335"/>
    <col min="14849" max="14849" width="5" style="335" customWidth="1"/>
    <col min="14850" max="14850" width="59.5703125" style="335" customWidth="1"/>
    <col min="14851" max="14855" width="0" style="335" hidden="1" customWidth="1"/>
    <col min="14856" max="14856" width="7.5703125" style="335" customWidth="1"/>
    <col min="14857" max="14874" width="0" style="335" hidden="1" customWidth="1"/>
    <col min="14875" max="14875" width="7.5703125" style="335" customWidth="1"/>
    <col min="14876" max="14893" width="0" style="335" hidden="1" customWidth="1"/>
    <col min="14894" max="14894" width="7.5703125" style="335" customWidth="1"/>
    <col min="14895" max="14897" width="8" style="335" customWidth="1"/>
    <col min="14898" max="14898" width="8.28515625" style="335" customWidth="1"/>
    <col min="14899" max="14901" width="8.140625" style="335" customWidth="1"/>
    <col min="14902" max="14902" width="8.7109375" style="335" customWidth="1"/>
    <col min="14903" max="14903" width="8.42578125" style="335" customWidth="1"/>
    <col min="14904" max="15104" width="9.140625" style="335"/>
    <col min="15105" max="15105" width="5" style="335" customWidth="1"/>
    <col min="15106" max="15106" width="59.5703125" style="335" customWidth="1"/>
    <col min="15107" max="15111" width="0" style="335" hidden="1" customWidth="1"/>
    <col min="15112" max="15112" width="7.5703125" style="335" customWidth="1"/>
    <col min="15113" max="15130" width="0" style="335" hidden="1" customWidth="1"/>
    <col min="15131" max="15131" width="7.5703125" style="335" customWidth="1"/>
    <col min="15132" max="15149" width="0" style="335" hidden="1" customWidth="1"/>
    <col min="15150" max="15150" width="7.5703125" style="335" customWidth="1"/>
    <col min="15151" max="15153" width="8" style="335" customWidth="1"/>
    <col min="15154" max="15154" width="8.28515625" style="335" customWidth="1"/>
    <col min="15155" max="15157" width="8.140625" style="335" customWidth="1"/>
    <col min="15158" max="15158" width="8.7109375" style="335" customWidth="1"/>
    <col min="15159" max="15159" width="8.42578125" style="335" customWidth="1"/>
    <col min="15160" max="15360" width="9.140625" style="335"/>
    <col min="15361" max="15361" width="5" style="335" customWidth="1"/>
    <col min="15362" max="15362" width="59.5703125" style="335" customWidth="1"/>
    <col min="15363" max="15367" width="0" style="335" hidden="1" customWidth="1"/>
    <col min="15368" max="15368" width="7.5703125" style="335" customWidth="1"/>
    <col min="15369" max="15386" width="0" style="335" hidden="1" customWidth="1"/>
    <col min="15387" max="15387" width="7.5703125" style="335" customWidth="1"/>
    <col min="15388" max="15405" width="0" style="335" hidden="1" customWidth="1"/>
    <col min="15406" max="15406" width="7.5703125" style="335" customWidth="1"/>
    <col min="15407" max="15409" width="8" style="335" customWidth="1"/>
    <col min="15410" max="15410" width="8.28515625" style="335" customWidth="1"/>
    <col min="15411" max="15413" width="8.140625" style="335" customWidth="1"/>
    <col min="15414" max="15414" width="8.7109375" style="335" customWidth="1"/>
    <col min="15415" max="15415" width="8.42578125" style="335" customWidth="1"/>
    <col min="15416" max="15616" width="9.140625" style="335"/>
    <col min="15617" max="15617" width="5" style="335" customWidth="1"/>
    <col min="15618" max="15618" width="59.5703125" style="335" customWidth="1"/>
    <col min="15619" max="15623" width="0" style="335" hidden="1" customWidth="1"/>
    <col min="15624" max="15624" width="7.5703125" style="335" customWidth="1"/>
    <col min="15625" max="15642" width="0" style="335" hidden="1" customWidth="1"/>
    <col min="15643" max="15643" width="7.5703125" style="335" customWidth="1"/>
    <col min="15644" max="15661" width="0" style="335" hidden="1" customWidth="1"/>
    <col min="15662" max="15662" width="7.5703125" style="335" customWidth="1"/>
    <col min="15663" max="15665" width="8" style="335" customWidth="1"/>
    <col min="15666" max="15666" width="8.28515625" style="335" customWidth="1"/>
    <col min="15667" max="15669" width="8.140625" style="335" customWidth="1"/>
    <col min="15670" max="15670" width="8.7109375" style="335" customWidth="1"/>
    <col min="15671" max="15671" width="8.42578125" style="335" customWidth="1"/>
    <col min="15672" max="15872" width="9.140625" style="335"/>
    <col min="15873" max="15873" width="5" style="335" customWidth="1"/>
    <col min="15874" max="15874" width="59.5703125" style="335" customWidth="1"/>
    <col min="15875" max="15879" width="0" style="335" hidden="1" customWidth="1"/>
    <col min="15880" max="15880" width="7.5703125" style="335" customWidth="1"/>
    <col min="15881" max="15898" width="0" style="335" hidden="1" customWidth="1"/>
    <col min="15899" max="15899" width="7.5703125" style="335" customWidth="1"/>
    <col min="15900" max="15917" width="0" style="335" hidden="1" customWidth="1"/>
    <col min="15918" max="15918" width="7.5703125" style="335" customWidth="1"/>
    <col min="15919" max="15921" width="8" style="335" customWidth="1"/>
    <col min="15922" max="15922" width="8.28515625" style="335" customWidth="1"/>
    <col min="15923" max="15925" width="8.140625" style="335" customWidth="1"/>
    <col min="15926" max="15926" width="8.7109375" style="335" customWidth="1"/>
    <col min="15927" max="15927" width="8.42578125" style="335" customWidth="1"/>
    <col min="15928" max="16128" width="9.140625" style="335"/>
    <col min="16129" max="16129" width="5" style="335" customWidth="1"/>
    <col min="16130" max="16130" width="59.5703125" style="335" customWidth="1"/>
    <col min="16131" max="16135" width="0" style="335" hidden="1" customWidth="1"/>
    <col min="16136" max="16136" width="7.5703125" style="335" customWidth="1"/>
    <col min="16137" max="16154" width="0" style="335" hidden="1" customWidth="1"/>
    <col min="16155" max="16155" width="7.5703125" style="335" customWidth="1"/>
    <col min="16156" max="16173" width="0" style="335" hidden="1" customWidth="1"/>
    <col min="16174" max="16174" width="7.5703125" style="335" customWidth="1"/>
    <col min="16175" max="16177" width="8" style="335" customWidth="1"/>
    <col min="16178" max="16178" width="8.28515625" style="335" customWidth="1"/>
    <col min="16179" max="16181" width="8.140625" style="335" customWidth="1"/>
    <col min="16182" max="16182" width="8.7109375" style="335" customWidth="1"/>
    <col min="16183" max="16183" width="8.42578125" style="335" customWidth="1"/>
    <col min="16184" max="16384" width="9.140625" style="335"/>
  </cols>
  <sheetData>
    <row r="1" spans="1:56" s="473" customFormat="1" ht="62.25" customHeight="1" thickBot="1">
      <c r="A1" s="1159" t="s">
        <v>196</v>
      </c>
      <c r="B1" s="1160"/>
      <c r="C1" s="483" t="s">
        <v>34</v>
      </c>
      <c r="D1" s="483" t="s">
        <v>35</v>
      </c>
      <c r="E1" s="483" t="s">
        <v>36</v>
      </c>
      <c r="F1" s="483" t="s">
        <v>37</v>
      </c>
      <c r="G1" s="575" t="s">
        <v>197</v>
      </c>
      <c r="H1" s="482" t="s">
        <v>198</v>
      </c>
      <c r="I1" s="576" t="s">
        <v>26</v>
      </c>
      <c r="J1" s="577" t="s">
        <v>27</v>
      </c>
      <c r="K1" s="577" t="s">
        <v>28</v>
      </c>
      <c r="L1" s="481" t="s">
        <v>199</v>
      </c>
      <c r="M1" s="577" t="s">
        <v>29</v>
      </c>
      <c r="N1" s="577" t="s">
        <v>30</v>
      </c>
      <c r="O1" s="577" t="s">
        <v>31</v>
      </c>
      <c r="P1" s="479" t="s">
        <v>200</v>
      </c>
      <c r="Q1" s="480" t="s">
        <v>201</v>
      </c>
      <c r="R1" s="577" t="s">
        <v>32</v>
      </c>
      <c r="S1" s="577" t="s">
        <v>33</v>
      </c>
      <c r="T1" s="577" t="s">
        <v>34</v>
      </c>
      <c r="U1" s="479" t="s">
        <v>202</v>
      </c>
      <c r="V1" s="480" t="s">
        <v>203</v>
      </c>
      <c r="W1" s="577" t="s">
        <v>35</v>
      </c>
      <c r="X1" s="577" t="s">
        <v>36</v>
      </c>
      <c r="Y1" s="577" t="s">
        <v>37</v>
      </c>
      <c r="Z1" s="479" t="s">
        <v>204</v>
      </c>
      <c r="AA1" s="482" t="s">
        <v>205</v>
      </c>
      <c r="AB1" s="577" t="s">
        <v>26</v>
      </c>
      <c r="AC1" s="577" t="s">
        <v>27</v>
      </c>
      <c r="AD1" s="577" t="s">
        <v>28</v>
      </c>
      <c r="AE1" s="481" t="s">
        <v>206</v>
      </c>
      <c r="AF1" s="577" t="s">
        <v>29</v>
      </c>
      <c r="AG1" s="577" t="s">
        <v>30</v>
      </c>
      <c r="AH1" s="577" t="s">
        <v>31</v>
      </c>
      <c r="AI1" s="481" t="s">
        <v>207</v>
      </c>
      <c r="AJ1" s="480" t="s">
        <v>208</v>
      </c>
      <c r="AK1" s="577" t="s">
        <v>32</v>
      </c>
      <c r="AL1" s="577" t="s">
        <v>33</v>
      </c>
      <c r="AM1" s="577" t="s">
        <v>34</v>
      </c>
      <c r="AN1" s="479" t="s">
        <v>209</v>
      </c>
      <c r="AO1" s="480" t="s">
        <v>210</v>
      </c>
      <c r="AP1" s="577" t="s">
        <v>35</v>
      </c>
      <c r="AQ1" s="577" t="s">
        <v>36</v>
      </c>
      <c r="AR1" s="577" t="s">
        <v>37</v>
      </c>
      <c r="AS1" s="479" t="s">
        <v>211</v>
      </c>
      <c r="AT1" s="478" t="s">
        <v>212</v>
      </c>
      <c r="AU1" s="477" t="s">
        <v>213</v>
      </c>
      <c r="AV1" s="477" t="s">
        <v>27</v>
      </c>
      <c r="AW1" s="477" t="s">
        <v>28</v>
      </c>
      <c r="AX1" s="476" t="s">
        <v>214</v>
      </c>
      <c r="AY1" s="477" t="s">
        <v>29</v>
      </c>
      <c r="AZ1" s="477" t="s">
        <v>30</v>
      </c>
      <c r="BA1" s="477" t="s">
        <v>31</v>
      </c>
      <c r="BB1" s="476" t="s">
        <v>215</v>
      </c>
      <c r="BC1" s="475" t="s">
        <v>216</v>
      </c>
      <c r="BD1" s="474" t="s">
        <v>217</v>
      </c>
    </row>
    <row r="2" spans="1:56" ht="38.25" customHeight="1" thickBot="1">
      <c r="A2" s="1158" t="s">
        <v>218</v>
      </c>
      <c r="B2" s="1158"/>
      <c r="C2" s="230">
        <f t="shared" ref="C2:AK2" si="0">C3+C4</f>
        <v>0</v>
      </c>
      <c r="D2" s="230">
        <f t="shared" si="0"/>
        <v>10</v>
      </c>
      <c r="E2" s="230">
        <f t="shared" si="0"/>
        <v>99</v>
      </c>
      <c r="F2" s="230">
        <f t="shared" si="0"/>
        <v>591</v>
      </c>
      <c r="G2" s="231">
        <f t="shared" si="0"/>
        <v>10</v>
      </c>
      <c r="H2" s="450">
        <f t="shared" si="0"/>
        <v>0</v>
      </c>
      <c r="I2" s="578">
        <f t="shared" si="0"/>
        <v>721</v>
      </c>
      <c r="J2" s="578">
        <f t="shared" si="0"/>
        <v>1164</v>
      </c>
      <c r="K2" s="578">
        <f t="shared" si="0"/>
        <v>1662</v>
      </c>
      <c r="L2" s="449">
        <f t="shared" si="0"/>
        <v>721</v>
      </c>
      <c r="M2" s="578">
        <f t="shared" si="0"/>
        <v>2061</v>
      </c>
      <c r="N2" s="578">
        <f t="shared" si="0"/>
        <v>2309</v>
      </c>
      <c r="O2" s="578">
        <f t="shared" si="0"/>
        <v>1784</v>
      </c>
      <c r="P2" s="449">
        <f t="shared" si="0"/>
        <v>2061</v>
      </c>
      <c r="Q2" s="448">
        <f t="shared" si="0"/>
        <v>721</v>
      </c>
      <c r="R2" s="578">
        <f t="shared" si="0"/>
        <v>1039</v>
      </c>
      <c r="S2" s="578">
        <f t="shared" si="0"/>
        <v>1134</v>
      </c>
      <c r="T2" s="578">
        <f t="shared" si="0"/>
        <v>1581</v>
      </c>
      <c r="U2" s="449">
        <f t="shared" si="0"/>
        <v>1039</v>
      </c>
      <c r="V2" s="448">
        <f t="shared" si="0"/>
        <v>721</v>
      </c>
      <c r="W2" s="578">
        <f t="shared" si="0"/>
        <v>1378</v>
      </c>
      <c r="X2" s="578">
        <f t="shared" si="0"/>
        <v>1202</v>
      </c>
      <c r="Y2" s="578">
        <f t="shared" si="0"/>
        <v>1642</v>
      </c>
      <c r="Z2" s="449">
        <f t="shared" si="0"/>
        <v>1378</v>
      </c>
      <c r="AA2" s="450">
        <f t="shared" si="0"/>
        <v>721</v>
      </c>
      <c r="AB2" s="578">
        <f t="shared" si="0"/>
        <v>1947</v>
      </c>
      <c r="AC2" s="578">
        <f t="shared" si="0"/>
        <v>2339</v>
      </c>
      <c r="AD2" s="578">
        <f t="shared" si="0"/>
        <v>1931</v>
      </c>
      <c r="AE2" s="449">
        <f t="shared" si="0"/>
        <v>1947</v>
      </c>
      <c r="AF2" s="578">
        <f t="shared" si="0"/>
        <v>2550</v>
      </c>
      <c r="AG2" s="578">
        <f t="shared" si="0"/>
        <v>2848</v>
      </c>
      <c r="AH2" s="578">
        <f t="shared" si="0"/>
        <v>3546</v>
      </c>
      <c r="AI2" s="449">
        <f t="shared" si="0"/>
        <v>2550</v>
      </c>
      <c r="AJ2" s="448">
        <f t="shared" si="0"/>
        <v>1947</v>
      </c>
      <c r="AK2" s="578">
        <f t="shared" si="0"/>
        <v>3026</v>
      </c>
      <c r="AL2" s="714">
        <f>SUM(AL3:AL4)</f>
        <v>3185</v>
      </c>
      <c r="AM2" s="578">
        <f t="shared" ref="AM2:BA2" si="1">AM3+AM4</f>
        <v>3124</v>
      </c>
      <c r="AN2" s="449">
        <f t="shared" si="1"/>
        <v>3026</v>
      </c>
      <c r="AO2" s="448">
        <f t="shared" si="1"/>
        <v>1947</v>
      </c>
      <c r="AP2" s="578">
        <f t="shared" si="1"/>
        <v>1590</v>
      </c>
      <c r="AQ2" s="578">
        <f t="shared" si="1"/>
        <v>1390</v>
      </c>
      <c r="AR2" s="578">
        <f t="shared" si="1"/>
        <v>1909</v>
      </c>
      <c r="AS2" s="449">
        <f t="shared" si="1"/>
        <v>1590</v>
      </c>
      <c r="AT2" s="472">
        <f t="shared" si="1"/>
        <v>1947</v>
      </c>
      <c r="AU2" s="384">
        <f t="shared" si="1"/>
        <v>2062</v>
      </c>
      <c r="AV2" s="384">
        <f t="shared" si="1"/>
        <v>2209</v>
      </c>
      <c r="AW2" s="384">
        <f t="shared" si="1"/>
        <v>2007</v>
      </c>
      <c r="AX2" s="383">
        <f t="shared" si="1"/>
        <v>2062</v>
      </c>
      <c r="AY2" s="384">
        <f t="shared" si="1"/>
        <v>1505</v>
      </c>
      <c r="AZ2" s="384">
        <f t="shared" si="1"/>
        <v>1545</v>
      </c>
      <c r="BA2" s="384">
        <f t="shared" si="1"/>
        <v>1591</v>
      </c>
      <c r="BB2" s="383">
        <f>AX24</f>
        <v>1505</v>
      </c>
      <c r="BC2" s="471">
        <f>SUM(BC3:BC4)</f>
        <v>2062</v>
      </c>
      <c r="BD2" s="470">
        <f>C2</f>
        <v>0</v>
      </c>
    </row>
    <row r="3" spans="1:56" ht="30" customHeight="1">
      <c r="A3" s="375"/>
      <c r="B3" s="381" t="s">
        <v>219</v>
      </c>
      <c r="C3" s="233">
        <v>0</v>
      </c>
      <c r="D3" s="233">
        <f t="shared" ref="D3:F4" si="2">C25</f>
        <v>9</v>
      </c>
      <c r="E3" s="233">
        <f t="shared" si="2"/>
        <v>93</v>
      </c>
      <c r="F3" s="233">
        <f t="shared" si="2"/>
        <v>513</v>
      </c>
      <c r="G3" s="234">
        <f>D3</f>
        <v>9</v>
      </c>
      <c r="H3" s="436">
        <f>C3</f>
        <v>0</v>
      </c>
      <c r="I3" s="579">
        <f>F25</f>
        <v>717</v>
      </c>
      <c r="J3" s="579">
        <f>I25</f>
        <v>1058</v>
      </c>
      <c r="K3" s="579">
        <f>J25</f>
        <v>1614</v>
      </c>
      <c r="L3" s="469">
        <f>H25</f>
        <v>717</v>
      </c>
      <c r="M3" s="579">
        <f>K25</f>
        <v>1988</v>
      </c>
      <c r="N3" s="579">
        <f>M25</f>
        <v>2216</v>
      </c>
      <c r="O3" s="579">
        <f>N25</f>
        <v>1654</v>
      </c>
      <c r="P3" s="469">
        <f>L25</f>
        <v>1988</v>
      </c>
      <c r="Q3" s="436">
        <f>H25</f>
        <v>717</v>
      </c>
      <c r="R3" s="579">
        <f t="shared" ref="R3:T4" si="3">Q25</f>
        <v>910</v>
      </c>
      <c r="S3" s="579">
        <f t="shared" si="3"/>
        <v>999</v>
      </c>
      <c r="T3" s="579">
        <f t="shared" si="3"/>
        <v>1473</v>
      </c>
      <c r="U3" s="469">
        <f>Q25</f>
        <v>910</v>
      </c>
      <c r="V3" s="436">
        <f>H25</f>
        <v>717</v>
      </c>
      <c r="W3" s="579">
        <f t="shared" ref="W3:Y4" si="4">V25</f>
        <v>1256</v>
      </c>
      <c r="X3" s="579">
        <f t="shared" si="4"/>
        <v>1098</v>
      </c>
      <c r="Y3" s="579">
        <f t="shared" si="4"/>
        <v>1468</v>
      </c>
      <c r="Z3" s="469">
        <f>V25</f>
        <v>1256</v>
      </c>
      <c r="AA3" s="436">
        <f>H25</f>
        <v>717</v>
      </c>
      <c r="AB3" s="579">
        <f t="shared" ref="AB3:AD4" si="5">AA25</f>
        <v>1789</v>
      </c>
      <c r="AC3" s="579">
        <f t="shared" si="5"/>
        <v>1958</v>
      </c>
      <c r="AD3" s="579">
        <f t="shared" si="5"/>
        <v>1711</v>
      </c>
      <c r="AE3" s="469">
        <f>AA25</f>
        <v>1789</v>
      </c>
      <c r="AF3" s="579">
        <f t="shared" ref="AF3:AH4" si="6">AE25</f>
        <v>2301</v>
      </c>
      <c r="AG3" s="579">
        <f t="shared" si="6"/>
        <v>2635</v>
      </c>
      <c r="AH3" s="579">
        <f t="shared" si="6"/>
        <v>3297</v>
      </c>
      <c r="AI3" s="469">
        <f>AE25</f>
        <v>2301</v>
      </c>
      <c r="AJ3" s="436">
        <f>AA25</f>
        <v>1789</v>
      </c>
      <c r="AK3" s="579">
        <f t="shared" ref="AK3:AM4" si="7">AJ25</f>
        <v>2760</v>
      </c>
      <c r="AL3" s="579">
        <f t="shared" si="7"/>
        <v>2907</v>
      </c>
      <c r="AM3" s="579">
        <f t="shared" si="7"/>
        <v>2907</v>
      </c>
      <c r="AN3" s="469">
        <f>AJ25</f>
        <v>2760</v>
      </c>
      <c r="AO3" s="436">
        <f>AA25</f>
        <v>1789</v>
      </c>
      <c r="AP3" s="579">
        <f t="shared" ref="AP3:AR4" si="8">AO25</f>
        <v>1364</v>
      </c>
      <c r="AQ3" s="579">
        <f t="shared" si="8"/>
        <v>1185</v>
      </c>
      <c r="AR3" s="579">
        <f t="shared" si="8"/>
        <v>1625</v>
      </c>
      <c r="AS3" s="469">
        <f>AO25</f>
        <v>1364</v>
      </c>
      <c r="AT3" s="468">
        <f>AA25</f>
        <v>1789</v>
      </c>
      <c r="AU3" s="380">
        <f t="shared" ref="AU3:AW4" si="9">AT25</f>
        <v>1803</v>
      </c>
      <c r="AV3" s="380">
        <f t="shared" si="9"/>
        <v>1936</v>
      </c>
      <c r="AW3" s="380">
        <f t="shared" si="9"/>
        <v>1766</v>
      </c>
      <c r="AX3" s="467">
        <f>AT25</f>
        <v>1803</v>
      </c>
      <c r="AY3" s="380">
        <f t="shared" ref="AY3:BA4" si="10">AX25</f>
        <v>1230</v>
      </c>
      <c r="AZ3" s="380">
        <f t="shared" si="10"/>
        <v>1252</v>
      </c>
      <c r="BA3" s="380">
        <f t="shared" si="10"/>
        <v>1283</v>
      </c>
      <c r="BB3" s="467">
        <f>AX25</f>
        <v>1230</v>
      </c>
      <c r="BC3" s="466">
        <f>AT25</f>
        <v>1803</v>
      </c>
      <c r="BD3" s="465">
        <f>C3</f>
        <v>0</v>
      </c>
    </row>
    <row r="4" spans="1:56" ht="33.75" customHeight="1" thickBot="1">
      <c r="A4" s="365"/>
      <c r="B4" s="715" t="s">
        <v>220</v>
      </c>
      <c r="C4" s="716">
        <v>0</v>
      </c>
      <c r="D4" s="716">
        <f t="shared" si="2"/>
        <v>1</v>
      </c>
      <c r="E4" s="716">
        <f t="shared" si="2"/>
        <v>6</v>
      </c>
      <c r="F4" s="716">
        <f t="shared" si="2"/>
        <v>78</v>
      </c>
      <c r="G4" s="717">
        <f>D4</f>
        <v>1</v>
      </c>
      <c r="H4" s="718">
        <f>C4</f>
        <v>0</v>
      </c>
      <c r="I4" s="719">
        <f>F26</f>
        <v>4</v>
      </c>
      <c r="J4" s="719">
        <f>I26</f>
        <v>106</v>
      </c>
      <c r="K4" s="719">
        <f>J26</f>
        <v>48</v>
      </c>
      <c r="L4" s="720">
        <f>H26</f>
        <v>4</v>
      </c>
      <c r="M4" s="719">
        <f>K26</f>
        <v>73</v>
      </c>
      <c r="N4" s="719">
        <f>M26</f>
        <v>93</v>
      </c>
      <c r="O4" s="719">
        <f>N26</f>
        <v>130</v>
      </c>
      <c r="P4" s="720">
        <f>L26</f>
        <v>73</v>
      </c>
      <c r="Q4" s="718">
        <f>H26</f>
        <v>4</v>
      </c>
      <c r="R4" s="719">
        <f t="shared" si="3"/>
        <v>129</v>
      </c>
      <c r="S4" s="719">
        <f t="shared" si="3"/>
        <v>135</v>
      </c>
      <c r="T4" s="719">
        <f t="shared" si="3"/>
        <v>108</v>
      </c>
      <c r="U4" s="720">
        <f>Q26</f>
        <v>129</v>
      </c>
      <c r="V4" s="718">
        <f>H26</f>
        <v>4</v>
      </c>
      <c r="W4" s="719">
        <f t="shared" si="4"/>
        <v>122</v>
      </c>
      <c r="X4" s="719">
        <f t="shared" si="4"/>
        <v>104</v>
      </c>
      <c r="Y4" s="719">
        <f t="shared" si="4"/>
        <v>174</v>
      </c>
      <c r="Z4" s="720">
        <f>V26</f>
        <v>122</v>
      </c>
      <c r="AA4" s="718">
        <f>H26</f>
        <v>4</v>
      </c>
      <c r="AB4" s="719">
        <f t="shared" si="5"/>
        <v>158</v>
      </c>
      <c r="AC4" s="719">
        <f t="shared" si="5"/>
        <v>381</v>
      </c>
      <c r="AD4" s="719">
        <f t="shared" si="5"/>
        <v>220</v>
      </c>
      <c r="AE4" s="720">
        <f>AA26</f>
        <v>158</v>
      </c>
      <c r="AF4" s="719">
        <f t="shared" si="6"/>
        <v>249</v>
      </c>
      <c r="AG4" s="719">
        <f t="shared" si="6"/>
        <v>213</v>
      </c>
      <c r="AH4" s="719">
        <f t="shared" si="6"/>
        <v>249</v>
      </c>
      <c r="AI4" s="720">
        <f>AE26</f>
        <v>249</v>
      </c>
      <c r="AJ4" s="718">
        <f>AA26</f>
        <v>158</v>
      </c>
      <c r="AK4" s="719">
        <f t="shared" si="7"/>
        <v>266</v>
      </c>
      <c r="AL4" s="719">
        <f t="shared" si="7"/>
        <v>278</v>
      </c>
      <c r="AM4" s="719">
        <f t="shared" si="7"/>
        <v>217</v>
      </c>
      <c r="AN4" s="720">
        <f>AJ26</f>
        <v>266</v>
      </c>
      <c r="AO4" s="718">
        <f>AA26</f>
        <v>158</v>
      </c>
      <c r="AP4" s="719">
        <f t="shared" si="8"/>
        <v>226</v>
      </c>
      <c r="AQ4" s="719">
        <f t="shared" si="8"/>
        <v>205</v>
      </c>
      <c r="AR4" s="719">
        <f t="shared" si="8"/>
        <v>284</v>
      </c>
      <c r="AS4" s="720">
        <f>AO26</f>
        <v>226</v>
      </c>
      <c r="AT4" s="464">
        <f>AA26</f>
        <v>158</v>
      </c>
      <c r="AU4" s="721">
        <f t="shared" si="9"/>
        <v>259</v>
      </c>
      <c r="AV4" s="721">
        <f t="shared" si="9"/>
        <v>273</v>
      </c>
      <c r="AW4" s="721">
        <f t="shared" si="9"/>
        <v>241</v>
      </c>
      <c r="AX4" s="722">
        <f>AT26</f>
        <v>259</v>
      </c>
      <c r="AY4" s="721">
        <f t="shared" si="10"/>
        <v>275</v>
      </c>
      <c r="AZ4" s="721">
        <f t="shared" si="10"/>
        <v>293</v>
      </c>
      <c r="BA4" s="721">
        <f t="shared" si="10"/>
        <v>308</v>
      </c>
      <c r="BB4" s="722">
        <f>AX26</f>
        <v>275</v>
      </c>
      <c r="BC4" s="463">
        <f>AT26</f>
        <v>259</v>
      </c>
      <c r="BD4" s="723">
        <f>C4</f>
        <v>0</v>
      </c>
    </row>
    <row r="5" spans="1:56" s="457" customFormat="1" ht="21" customHeight="1" thickBot="1">
      <c r="A5" s="462"/>
      <c r="B5" s="461"/>
      <c r="C5" s="460"/>
      <c r="D5" s="460"/>
      <c r="E5" s="460"/>
      <c r="F5" s="460"/>
      <c r="G5" s="235"/>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8"/>
    </row>
    <row r="6" spans="1:56" ht="36.75" customHeight="1" thickBot="1">
      <c r="A6" s="1161" t="s">
        <v>221</v>
      </c>
      <c r="B6" s="1161"/>
      <c r="C6" s="456">
        <f>SUM(C7:C8)</f>
        <v>17</v>
      </c>
      <c r="D6" s="456">
        <f>SUM(D7:D8)</f>
        <v>176</v>
      </c>
      <c r="E6" s="456">
        <f>SUM(E7:E8)</f>
        <v>825</v>
      </c>
      <c r="F6" s="456">
        <f>SUM(F7:F8)</f>
        <v>485</v>
      </c>
      <c r="G6" s="236">
        <f>G7+G8</f>
        <v>1486</v>
      </c>
      <c r="H6" s="453">
        <f>H7+H8</f>
        <v>1503</v>
      </c>
      <c r="I6" s="580">
        <f>SUM(I7:I8)</f>
        <v>895</v>
      </c>
      <c r="J6" s="580">
        <f>SUM(J7:J8)</f>
        <v>1185</v>
      </c>
      <c r="K6" s="580">
        <f>SUM(K7:K8)</f>
        <v>858</v>
      </c>
      <c r="L6" s="454">
        <f>L7+L8</f>
        <v>2938</v>
      </c>
      <c r="M6" s="580">
        <f>SUM(M7:M8)</f>
        <v>860</v>
      </c>
      <c r="N6" s="580">
        <f>SUM(N7:N8)</f>
        <v>905</v>
      </c>
      <c r="O6" s="580">
        <f>SUM(O7:O8)</f>
        <v>732</v>
      </c>
      <c r="P6" s="454">
        <f>P7+P8</f>
        <v>2497</v>
      </c>
      <c r="Q6" s="455">
        <f>Q7+Q8</f>
        <v>5435</v>
      </c>
      <c r="R6" s="580">
        <f>SUM(R7:R8)</f>
        <v>881</v>
      </c>
      <c r="S6" s="580">
        <f>SUM(S7:S8)</f>
        <v>780</v>
      </c>
      <c r="T6" s="580">
        <f>SUM(T7:T8)</f>
        <v>664</v>
      </c>
      <c r="U6" s="454">
        <f>U7+U8</f>
        <v>2325</v>
      </c>
      <c r="V6" s="455">
        <f>V7+V8</f>
        <v>7760</v>
      </c>
      <c r="W6" s="580">
        <f>SUM(W7:W8)</f>
        <v>908</v>
      </c>
      <c r="X6" s="580">
        <f>SUM(X7:X8)</f>
        <v>1183</v>
      </c>
      <c r="Y6" s="580">
        <f>SUM(Y7:Y8)</f>
        <v>966</v>
      </c>
      <c r="Z6" s="454">
        <f>Z7+Z8</f>
        <v>3057</v>
      </c>
      <c r="AA6" s="453">
        <f>AA7+AA8</f>
        <v>10817</v>
      </c>
      <c r="AB6" s="580">
        <f t="shared" ref="AB6:AH6" si="11">SUM(AB7:AB8)</f>
        <v>1367</v>
      </c>
      <c r="AC6" s="580">
        <f t="shared" si="11"/>
        <v>762</v>
      </c>
      <c r="AD6" s="580">
        <f t="shared" si="11"/>
        <v>1602</v>
      </c>
      <c r="AE6" s="454">
        <f t="shared" si="11"/>
        <v>3731</v>
      </c>
      <c r="AF6" s="580">
        <f t="shared" si="11"/>
        <v>1323</v>
      </c>
      <c r="AG6" s="580">
        <f t="shared" si="11"/>
        <v>1714</v>
      </c>
      <c r="AH6" s="580">
        <f t="shared" si="11"/>
        <v>559</v>
      </c>
      <c r="AI6" s="454">
        <f>AI7+AI8</f>
        <v>3596</v>
      </c>
      <c r="AJ6" s="455">
        <f>AJ7+AJ8</f>
        <v>7327</v>
      </c>
      <c r="AK6" s="580">
        <f>SUM(AK7:AK8)</f>
        <v>846</v>
      </c>
      <c r="AL6" s="580">
        <f>SUM(AL7:AL8)</f>
        <v>298</v>
      </c>
      <c r="AM6" s="580">
        <f>SUM(AM7:AM8)</f>
        <v>220</v>
      </c>
      <c r="AN6" s="454">
        <f>AN7+AN8</f>
        <v>1364</v>
      </c>
      <c r="AO6" s="455">
        <f>AO7+AO8</f>
        <v>8691</v>
      </c>
      <c r="AP6" s="580">
        <f>SUM(AP7:AP8)</f>
        <v>521</v>
      </c>
      <c r="AQ6" s="580">
        <f>SUM(AQ7:AQ8)</f>
        <v>1270</v>
      </c>
      <c r="AR6" s="580">
        <f>SUM(AR7:AR8)</f>
        <v>1060</v>
      </c>
      <c r="AS6" s="454">
        <f t="shared" ref="AS6:BB6" si="12">AS7+AS8</f>
        <v>2851</v>
      </c>
      <c r="AT6" s="453">
        <f t="shared" si="12"/>
        <v>11542</v>
      </c>
      <c r="AU6" s="393">
        <f t="shared" si="12"/>
        <v>804</v>
      </c>
      <c r="AV6" s="393">
        <f t="shared" si="12"/>
        <v>602</v>
      </c>
      <c r="AW6" s="393">
        <f t="shared" si="12"/>
        <v>587</v>
      </c>
      <c r="AX6" s="452">
        <f t="shared" si="12"/>
        <v>1993</v>
      </c>
      <c r="AY6" s="393">
        <f t="shared" si="12"/>
        <v>713</v>
      </c>
      <c r="AZ6" s="393">
        <f t="shared" si="12"/>
        <v>696</v>
      </c>
      <c r="BA6" s="393">
        <f t="shared" si="12"/>
        <v>479</v>
      </c>
      <c r="BB6" s="452">
        <f t="shared" si="12"/>
        <v>1888</v>
      </c>
      <c r="BC6" s="390">
        <f>SUM(BC7:BC8)</f>
        <v>3881</v>
      </c>
      <c r="BD6" s="237">
        <f>BD7+BD8</f>
        <v>27743</v>
      </c>
    </row>
    <row r="7" spans="1:56" ht="33.75" customHeight="1">
      <c r="A7" s="375"/>
      <c r="B7" s="381" t="s">
        <v>222</v>
      </c>
      <c r="C7" s="233">
        <v>11</v>
      </c>
      <c r="D7" s="233">
        <f>137-11</f>
        <v>126</v>
      </c>
      <c r="E7" s="233">
        <f>627-137</f>
        <v>490</v>
      </c>
      <c r="F7" s="233">
        <f>978-627</f>
        <v>351</v>
      </c>
      <c r="G7" s="234">
        <f>SUM(D7:F7)</f>
        <v>967</v>
      </c>
      <c r="H7" s="436">
        <f>SUM(C7:F7)</f>
        <v>978</v>
      </c>
      <c r="I7" s="579">
        <f>1584-978</f>
        <v>606</v>
      </c>
      <c r="J7" s="579">
        <f>2403-1584</f>
        <v>819</v>
      </c>
      <c r="K7" s="579">
        <f>3128-2403</f>
        <v>725</v>
      </c>
      <c r="L7" s="451">
        <f>SUM(I7:K7)</f>
        <v>2150</v>
      </c>
      <c r="M7" s="579">
        <f>3874-3128</f>
        <v>746</v>
      </c>
      <c r="N7" s="579">
        <f>4659-3874</f>
        <v>785</v>
      </c>
      <c r="O7" s="579">
        <f>5299-4659</f>
        <v>640</v>
      </c>
      <c r="P7" s="451">
        <f>SUM(M7:O7)</f>
        <v>2171</v>
      </c>
      <c r="Q7" s="438">
        <f>SUM(I7:K7)+SUM(M7:O7)</f>
        <v>4321</v>
      </c>
      <c r="R7" s="579">
        <f>6033-5299</f>
        <v>734</v>
      </c>
      <c r="S7" s="579">
        <f>6696-6033</f>
        <v>663</v>
      </c>
      <c r="T7" s="579">
        <f>7247-6696</f>
        <v>551</v>
      </c>
      <c r="U7" s="451">
        <f>SUM(R7:T7)</f>
        <v>1948</v>
      </c>
      <c r="V7" s="438">
        <f>SUM(I7:K7)+SUM(M7:O7)+SUM(R7:T7)</f>
        <v>6269</v>
      </c>
      <c r="W7" s="579">
        <f>8006-7247</f>
        <v>759</v>
      </c>
      <c r="X7" s="579">
        <f>9050-8006</f>
        <v>1044</v>
      </c>
      <c r="Y7" s="579">
        <f>9760-9050+122</f>
        <v>832</v>
      </c>
      <c r="Z7" s="451">
        <f>SUM(W7:Y7)</f>
        <v>2635</v>
      </c>
      <c r="AA7" s="436">
        <f>SUM(I7:K7)+SUM(M7:O7)+SUM(R7:T7)+SUM(W7:Y7)</f>
        <v>8904</v>
      </c>
      <c r="AB7" s="579">
        <f>10789+122-9760-122</f>
        <v>1029</v>
      </c>
      <c r="AC7" s="579">
        <f>11418+122-10789-122</f>
        <v>629</v>
      </c>
      <c r="AD7" s="579">
        <f>12801+122-11418-122</f>
        <v>1383</v>
      </c>
      <c r="AE7" s="451">
        <f>SUM(AB7:AD7)</f>
        <v>3041</v>
      </c>
      <c r="AF7" s="579">
        <f>14028+122-12801-122</f>
        <v>1227</v>
      </c>
      <c r="AG7" s="579">
        <f>15623+122-14028-122</f>
        <v>1595</v>
      </c>
      <c r="AH7" s="579">
        <f>16089+122-15623-122</f>
        <v>466</v>
      </c>
      <c r="AI7" s="451">
        <f>SUM(AF7:AH7)</f>
        <v>3288</v>
      </c>
      <c r="AJ7" s="438">
        <f>SUM(AB7:AD7)+SUM(AF7:AH7)</f>
        <v>6329</v>
      </c>
      <c r="AK7" s="579">
        <f>16763+122-16089-122</f>
        <v>674</v>
      </c>
      <c r="AL7" s="579">
        <f>16997+1+122-16763-122</f>
        <v>235</v>
      </c>
      <c r="AM7" s="579">
        <f>17156+122-16998-122</f>
        <v>158</v>
      </c>
      <c r="AN7" s="451">
        <f>SUM(AK7:AM7)</f>
        <v>1067</v>
      </c>
      <c r="AO7" s="438">
        <f>SUM(AB7:AD7)+SUM(AF7:AH7)+SUM(AK7:AM7)</f>
        <v>7396</v>
      </c>
      <c r="AP7" s="579">
        <f>17573+120-17156-120</f>
        <v>417</v>
      </c>
      <c r="AQ7" s="579">
        <f>18624+120-17573-120</f>
        <v>1051</v>
      </c>
      <c r="AR7" s="579">
        <f>19462+120-18624-120</f>
        <v>838</v>
      </c>
      <c r="AS7" s="451">
        <f>SUM(AP7:AR7)</f>
        <v>2306</v>
      </c>
      <c r="AT7" s="436">
        <f>SUM(AB7:AD7)+SUM(AF7:AH7)+SUM(AK7:AM7)+SUM(AP7:AR7)</f>
        <v>9702</v>
      </c>
      <c r="AU7" s="380">
        <v>620</v>
      </c>
      <c r="AV7" s="380">
        <v>475</v>
      </c>
      <c r="AW7" s="380">
        <v>479</v>
      </c>
      <c r="AX7" s="379">
        <f>SUM(AU7:AW7)</f>
        <v>1574</v>
      </c>
      <c r="AY7" s="380">
        <v>580</v>
      </c>
      <c r="AZ7" s="380">
        <v>581</v>
      </c>
      <c r="BA7" s="380">
        <v>384</v>
      </c>
      <c r="BB7" s="379">
        <f>SUM(AY7:BA7)</f>
        <v>1545</v>
      </c>
      <c r="BC7" s="378">
        <f>SUM(AX7,BB7)</f>
        <v>3119</v>
      </c>
      <c r="BD7" s="239">
        <f>AA7+H7+AT7+BC7</f>
        <v>22703</v>
      </c>
    </row>
    <row r="8" spans="1:56" ht="33.75" customHeight="1" thickBot="1">
      <c r="A8" s="365"/>
      <c r="B8" s="715" t="s">
        <v>223</v>
      </c>
      <c r="C8" s="716">
        <v>6</v>
      </c>
      <c r="D8" s="716">
        <f>56-6</f>
        <v>50</v>
      </c>
      <c r="E8" s="716">
        <f>391-56</f>
        <v>335</v>
      </c>
      <c r="F8" s="716">
        <f>525-391</f>
        <v>134</v>
      </c>
      <c r="G8" s="717">
        <f>SUM(D8:F8)</f>
        <v>519</v>
      </c>
      <c r="H8" s="718">
        <f>SUM(C8:F8)</f>
        <v>525</v>
      </c>
      <c r="I8" s="719">
        <f>814-525</f>
        <v>289</v>
      </c>
      <c r="J8" s="719">
        <f>1180-814</f>
        <v>366</v>
      </c>
      <c r="K8" s="719">
        <f>1313-1180</f>
        <v>133</v>
      </c>
      <c r="L8" s="724">
        <f>SUM(I8:K8)</f>
        <v>788</v>
      </c>
      <c r="M8" s="719">
        <f>1427-1313</f>
        <v>114</v>
      </c>
      <c r="N8" s="719">
        <f>1547-1427</f>
        <v>120</v>
      </c>
      <c r="O8" s="719">
        <f>1639-1547</f>
        <v>92</v>
      </c>
      <c r="P8" s="724">
        <f>SUM(M8:O8)</f>
        <v>326</v>
      </c>
      <c r="Q8" s="725">
        <f>SUM(I8:K8)+SUM(M8:O8)</f>
        <v>1114</v>
      </c>
      <c r="R8" s="719">
        <f>1786-1639</f>
        <v>147</v>
      </c>
      <c r="S8" s="719">
        <f>1903-1786</f>
        <v>117</v>
      </c>
      <c r="T8" s="719">
        <f>2016-1903</f>
        <v>113</v>
      </c>
      <c r="U8" s="724">
        <f>SUM(R8:T8)</f>
        <v>377</v>
      </c>
      <c r="V8" s="725">
        <f>SUM(I8:K8)+SUM(M8:O8)+SUM(R8:T8)</f>
        <v>1491</v>
      </c>
      <c r="W8" s="719">
        <f>2165-2016</f>
        <v>149</v>
      </c>
      <c r="X8" s="719">
        <f>2304-2165</f>
        <v>139</v>
      </c>
      <c r="Y8" s="719">
        <f>2438-2304</f>
        <v>134</v>
      </c>
      <c r="Z8" s="724">
        <f>SUM(W8:Y8)</f>
        <v>422</v>
      </c>
      <c r="AA8" s="718">
        <f>SUM(I8:K8)+SUM(M8:O8)+SUM(R8:T8)+SUM(W8:Y8)</f>
        <v>1913</v>
      </c>
      <c r="AB8" s="719">
        <f>2776-2438</f>
        <v>338</v>
      </c>
      <c r="AC8" s="719">
        <f>2909-2776</f>
        <v>133</v>
      </c>
      <c r="AD8" s="719">
        <f>3128-2909</f>
        <v>219</v>
      </c>
      <c r="AE8" s="724">
        <f>SUM(AB8:AD8)</f>
        <v>690</v>
      </c>
      <c r="AF8" s="719">
        <f>3224-3128</f>
        <v>96</v>
      </c>
      <c r="AG8" s="719">
        <f>3343-3224</f>
        <v>119</v>
      </c>
      <c r="AH8" s="719">
        <f>3436-3343</f>
        <v>93</v>
      </c>
      <c r="AI8" s="724">
        <f>SUM(AF8:AH8)</f>
        <v>308</v>
      </c>
      <c r="AJ8" s="725">
        <f>SUM(AB8:AD8)+SUM(AF8:AH8)</f>
        <v>998</v>
      </c>
      <c r="AK8" s="719">
        <f>3608-3436</f>
        <v>172</v>
      </c>
      <c r="AL8" s="719">
        <f>3671-3608</f>
        <v>63</v>
      </c>
      <c r="AM8" s="719">
        <f>3733-3671</f>
        <v>62</v>
      </c>
      <c r="AN8" s="724">
        <f>SUM(AK8:AM8)</f>
        <v>297</v>
      </c>
      <c r="AO8" s="725">
        <f>SUM(AB8:AD8)+SUM(AF8:AH8)+SUM(AK8:AM8)</f>
        <v>1295</v>
      </c>
      <c r="AP8" s="719">
        <f>3837-3733</f>
        <v>104</v>
      </c>
      <c r="AQ8" s="719">
        <f>4056-3837</f>
        <v>219</v>
      </c>
      <c r="AR8" s="719">
        <f>4278-4056</f>
        <v>222</v>
      </c>
      <c r="AS8" s="724">
        <f>SUM(AP8:AR8)</f>
        <v>545</v>
      </c>
      <c r="AT8" s="431">
        <f>SUM(AB8:AD8)+SUM(AF8:AH8)+SUM(AK8:AM8)+SUM(AP8:AR8)</f>
        <v>1840</v>
      </c>
      <c r="AU8" s="721">
        <f>4462-4278</f>
        <v>184</v>
      </c>
      <c r="AV8" s="721">
        <f>4589-4462</f>
        <v>127</v>
      </c>
      <c r="AW8" s="721">
        <f>4697-4589</f>
        <v>108</v>
      </c>
      <c r="AX8" s="726">
        <f>SUM(AU8:AW8)</f>
        <v>419</v>
      </c>
      <c r="AY8" s="721">
        <v>133</v>
      </c>
      <c r="AZ8" s="721">
        <v>115</v>
      </c>
      <c r="BA8" s="721">
        <v>95</v>
      </c>
      <c r="BB8" s="726">
        <f>SUM(AY8:BA8)</f>
        <v>343</v>
      </c>
      <c r="BC8" s="376">
        <f>SUM(AX8,BB8)</f>
        <v>762</v>
      </c>
      <c r="BD8" s="727">
        <f>AA8+H8+AT8+BC8</f>
        <v>5040</v>
      </c>
    </row>
    <row r="9" spans="1:56" ht="21.75" customHeight="1" thickBot="1">
      <c r="A9" s="462"/>
      <c r="B9" s="461"/>
      <c r="C9" s="460"/>
      <c r="D9" s="460"/>
      <c r="E9" s="460"/>
      <c r="F9" s="460"/>
      <c r="G9" s="235"/>
      <c r="H9" s="459"/>
      <c r="I9" s="459"/>
      <c r="J9" s="459"/>
      <c r="K9" s="459"/>
      <c r="L9" s="235"/>
      <c r="M9" s="459"/>
      <c r="N9" s="459"/>
      <c r="O9" s="459"/>
      <c r="P9" s="235"/>
      <c r="Q9" s="235"/>
      <c r="R9" s="459"/>
      <c r="S9" s="459"/>
      <c r="T9" s="459"/>
      <c r="U9" s="235"/>
      <c r="V9" s="235"/>
      <c r="W9" s="459"/>
      <c r="X9" s="459"/>
      <c r="Y9" s="459"/>
      <c r="Z9" s="235"/>
      <c r="AA9" s="459"/>
      <c r="AB9" s="459"/>
      <c r="AC9" s="459"/>
      <c r="AD9" s="459"/>
      <c r="AE9" s="235"/>
      <c r="AF9" s="459"/>
      <c r="AG9" s="459"/>
      <c r="AH9" s="459"/>
      <c r="AI9" s="235"/>
      <c r="AJ9" s="235"/>
      <c r="AK9" s="459"/>
      <c r="AL9" s="459"/>
      <c r="AM9" s="459"/>
      <c r="AN9" s="235"/>
      <c r="AO9" s="235"/>
      <c r="AP9" s="459"/>
      <c r="AQ9" s="459"/>
      <c r="AR9" s="459"/>
      <c r="AS9" s="235"/>
      <c r="AT9" s="459"/>
      <c r="AU9" s="459"/>
      <c r="AV9" s="459"/>
      <c r="AW9" s="459"/>
      <c r="AX9" s="459"/>
      <c r="AY9" s="459"/>
      <c r="AZ9" s="459"/>
      <c r="BA9" s="459"/>
      <c r="BB9" s="459"/>
      <c r="BC9" s="459"/>
      <c r="BD9" s="459"/>
    </row>
    <row r="10" spans="1:56" ht="45" customHeight="1" thickBot="1">
      <c r="A10" s="1154" t="s">
        <v>224</v>
      </c>
      <c r="B10" s="1154"/>
      <c r="C10" s="230">
        <f>SUM(C11:C14)</f>
        <v>2</v>
      </c>
      <c r="D10" s="230">
        <f>SUM(D11:D14)</f>
        <v>42</v>
      </c>
      <c r="E10" s="230">
        <f>SUM(E11:E14)</f>
        <v>70</v>
      </c>
      <c r="F10" s="230">
        <f>SUM(F11:F14)</f>
        <v>147</v>
      </c>
      <c r="G10" s="231">
        <f>G11+G12+G14</f>
        <v>259</v>
      </c>
      <c r="H10" s="450">
        <f>H11+H12+H14</f>
        <v>261</v>
      </c>
      <c r="I10" s="578">
        <f>SUM(I11:I14)</f>
        <v>265</v>
      </c>
      <c r="J10" s="578">
        <f>SUM(J11:J14)</f>
        <v>263</v>
      </c>
      <c r="K10" s="578">
        <f>SUM(K11:K14)</f>
        <v>351</v>
      </c>
      <c r="L10" s="449">
        <f>L11+L12+L14</f>
        <v>879</v>
      </c>
      <c r="M10" s="578">
        <f>SUM(M11:M14)</f>
        <v>518</v>
      </c>
      <c r="N10" s="578">
        <f>SUM(N11:N14)</f>
        <v>1347</v>
      </c>
      <c r="O10" s="578">
        <f>SUM(O11:O14)</f>
        <v>1384</v>
      </c>
      <c r="P10" s="449">
        <f>P11+P12+P14</f>
        <v>3249</v>
      </c>
      <c r="Q10" s="448">
        <f>Q11+Q12+Q14</f>
        <v>4128</v>
      </c>
      <c r="R10" s="578">
        <f>SUM(R11:R14)</f>
        <v>645</v>
      </c>
      <c r="S10" s="578">
        <f>SUM(S11:S14)</f>
        <v>189</v>
      </c>
      <c r="T10" s="578">
        <f>SUM(T11:T14)</f>
        <v>768</v>
      </c>
      <c r="U10" s="449">
        <f>U11+U12+U14</f>
        <v>1602</v>
      </c>
      <c r="V10" s="448">
        <f>V11+V12+V14</f>
        <v>5730</v>
      </c>
      <c r="W10" s="578">
        <f>SUM(W11:W14)</f>
        <v>917</v>
      </c>
      <c r="X10" s="578">
        <f>SUM(X11:X14)</f>
        <v>674</v>
      </c>
      <c r="Y10" s="578">
        <f>SUM(Y11:Y14)</f>
        <v>511</v>
      </c>
      <c r="Z10" s="581">
        <f>Z11+Z12+Z14</f>
        <v>2102</v>
      </c>
      <c r="AA10" s="450">
        <f>AA11+AA12+AA14</f>
        <v>7832</v>
      </c>
      <c r="AB10" s="578">
        <f t="shared" ref="AB10:AH10" si="13">SUM(AB11:AB14)</f>
        <v>860</v>
      </c>
      <c r="AC10" s="578">
        <f t="shared" si="13"/>
        <v>876</v>
      </c>
      <c r="AD10" s="578">
        <f t="shared" si="13"/>
        <v>793</v>
      </c>
      <c r="AE10" s="449">
        <f t="shared" si="13"/>
        <v>2529</v>
      </c>
      <c r="AF10" s="578">
        <f t="shared" si="13"/>
        <v>893</v>
      </c>
      <c r="AG10" s="578">
        <f t="shared" si="13"/>
        <v>933</v>
      </c>
      <c r="AH10" s="578">
        <f t="shared" si="13"/>
        <v>1003</v>
      </c>
      <c r="AI10" s="449">
        <f>AI11+AI12+AI14</f>
        <v>2829</v>
      </c>
      <c r="AJ10" s="448">
        <f>AJ11+AJ12+AJ14</f>
        <v>5358</v>
      </c>
      <c r="AK10" s="578">
        <f>SUM(AK11:AK14)</f>
        <v>527</v>
      </c>
      <c r="AL10" s="578">
        <f t="shared" ref="AL10:AQ10" si="14">SUM(AL11:AL15)</f>
        <v>235</v>
      </c>
      <c r="AM10" s="578">
        <f t="shared" si="14"/>
        <v>1701</v>
      </c>
      <c r="AN10" s="446">
        <f t="shared" si="14"/>
        <v>2463</v>
      </c>
      <c r="AO10" s="447">
        <f t="shared" si="14"/>
        <v>7821</v>
      </c>
      <c r="AP10" s="582">
        <f t="shared" si="14"/>
        <v>596</v>
      </c>
      <c r="AQ10" s="582">
        <f t="shared" si="14"/>
        <v>611</v>
      </c>
      <c r="AR10" s="582">
        <f>SUM(AR11:AR14)</f>
        <v>660</v>
      </c>
      <c r="AS10" s="446">
        <f t="shared" ref="AS10:BC10" si="15">SUM(AS11:AS15)</f>
        <v>1867</v>
      </c>
      <c r="AT10" s="445">
        <f>SUM(AT11:AT15)</f>
        <v>9688</v>
      </c>
      <c r="AU10" s="444">
        <f t="shared" si="15"/>
        <v>487</v>
      </c>
      <c r="AV10" s="444">
        <f>SUM(AV11:AV15)</f>
        <v>645</v>
      </c>
      <c r="AW10" s="443">
        <f t="shared" si="15"/>
        <v>1015</v>
      </c>
      <c r="AX10" s="442">
        <f>SUM(AX11:AX15)</f>
        <v>2147</v>
      </c>
      <c r="AY10" s="444">
        <f t="shared" si="15"/>
        <v>558</v>
      </c>
      <c r="AZ10" s="444">
        <f>SUM(AZ11:AZ15)</f>
        <v>550</v>
      </c>
      <c r="BA10" s="443">
        <f t="shared" si="15"/>
        <v>475</v>
      </c>
      <c r="BB10" s="442">
        <f>SUM(BB11:BB15)</f>
        <v>1583</v>
      </c>
      <c r="BC10" s="441">
        <f t="shared" si="15"/>
        <v>3730</v>
      </c>
      <c r="BD10" s="440">
        <f>SUM(BD11:BD15)</f>
        <v>21511</v>
      </c>
    </row>
    <row r="11" spans="1:56" ht="45" customHeight="1">
      <c r="A11" s="386"/>
      <c r="B11" s="240" t="s">
        <v>225</v>
      </c>
      <c r="C11" s="241">
        <v>0</v>
      </c>
      <c r="D11" s="241">
        <v>2</v>
      </c>
      <c r="E11" s="241">
        <f>17-2</f>
        <v>15</v>
      </c>
      <c r="F11" s="241">
        <f>27-17</f>
        <v>10</v>
      </c>
      <c r="G11" s="242">
        <f>SUM(D11:F11)</f>
        <v>27</v>
      </c>
      <c r="H11" s="436">
        <f>SUM(C11:F11)</f>
        <v>27</v>
      </c>
      <c r="I11" s="579">
        <f>52-27</f>
        <v>25</v>
      </c>
      <c r="J11" s="579">
        <f>79-52</f>
        <v>27</v>
      </c>
      <c r="K11" s="579">
        <f>141-79</f>
        <v>62</v>
      </c>
      <c r="L11" s="439">
        <f>SUM(I11:K11)</f>
        <v>114</v>
      </c>
      <c r="M11" s="579">
        <f>207-141</f>
        <v>66</v>
      </c>
      <c r="N11" s="579">
        <f>354-207</f>
        <v>147</v>
      </c>
      <c r="O11" s="579">
        <f>554-354</f>
        <v>200</v>
      </c>
      <c r="P11" s="439">
        <f>SUM(M11:O11)</f>
        <v>413</v>
      </c>
      <c r="Q11" s="438">
        <f>SUM(I11:K11)+SUM(M11:O11)</f>
        <v>527</v>
      </c>
      <c r="R11" s="579">
        <f>646-554</f>
        <v>92</v>
      </c>
      <c r="S11" s="579">
        <f>723-646</f>
        <v>77</v>
      </c>
      <c r="T11" s="579">
        <f>846-723</f>
        <v>123</v>
      </c>
      <c r="U11" s="439">
        <f>SUM(R11:T11)</f>
        <v>292</v>
      </c>
      <c r="V11" s="438">
        <f>SUM(I11:K11)+SUM(M11:O11)+SUM(R11:T11)</f>
        <v>819</v>
      </c>
      <c r="W11" s="579">
        <f>449+551-846</f>
        <v>154</v>
      </c>
      <c r="X11" s="579">
        <f>529+632-1000</f>
        <v>161</v>
      </c>
      <c r="Y11" s="579">
        <f>1333-1161+40</f>
        <v>212</v>
      </c>
      <c r="Z11" s="437">
        <f>SUM(W11:Y11)</f>
        <v>527</v>
      </c>
      <c r="AA11" s="436">
        <f>SUM(I11:K11)+SUM(M11:O11)+SUM(R11:T11)+SUM(W11:Y11)</f>
        <v>1346</v>
      </c>
      <c r="AB11" s="579">
        <f>1434+40-1333-40</f>
        <v>101</v>
      </c>
      <c r="AC11" s="579">
        <f>720+780+40+1-1434-40</f>
        <v>67</v>
      </c>
      <c r="AD11" s="579">
        <f>741+803+41-720-780-41</f>
        <v>44</v>
      </c>
      <c r="AE11" s="439">
        <f>SUM(AB11:AD11)</f>
        <v>212</v>
      </c>
      <c r="AF11" s="579">
        <f>764+830+41-741-803-41</f>
        <v>50</v>
      </c>
      <c r="AG11" s="579">
        <f>781+844+41-764-830-41</f>
        <v>31</v>
      </c>
      <c r="AH11" s="579">
        <f>796+861+41-781-844-41</f>
        <v>32</v>
      </c>
      <c r="AI11" s="439">
        <f>SUM(AF11:AH11)</f>
        <v>113</v>
      </c>
      <c r="AJ11" s="438">
        <f>SUM(AB11:AD11)+SUM(AF11:AH11)</f>
        <v>325</v>
      </c>
      <c r="AK11" s="579">
        <f>800+867+41-796-861-41</f>
        <v>10</v>
      </c>
      <c r="AL11" s="579">
        <f>808+869+41-800-867-41</f>
        <v>10</v>
      </c>
      <c r="AM11" s="579">
        <f>819+888+41-808-869-41</f>
        <v>30</v>
      </c>
      <c r="AN11" s="439">
        <f>SUM(AK11:AM11)</f>
        <v>50</v>
      </c>
      <c r="AO11" s="438">
        <f>SUM(AB11:AD11)+SUM(AF11:AH11)+SUM(AK11:AM11)</f>
        <v>375</v>
      </c>
      <c r="AP11" s="579">
        <f>830+903+41-819-888-41</f>
        <v>26</v>
      </c>
      <c r="AQ11" s="579">
        <f>(844+924+41)-(830+903+41)</f>
        <v>35</v>
      </c>
      <c r="AR11" s="579">
        <f>(863+939+41)-(844+924+41)</f>
        <v>34</v>
      </c>
      <c r="AS11" s="437">
        <f t="shared" ref="AS11:AS17" si="16">SUM(AP11:AR11)</f>
        <v>95</v>
      </c>
      <c r="AT11" s="436">
        <f>SUM(AB11:AD11)+SUM(AF11:AH11)+SUM(AK11:AM11)+SUM(AP11:AR11)</f>
        <v>470</v>
      </c>
      <c r="AU11" s="380">
        <f>14+13</f>
        <v>27</v>
      </c>
      <c r="AV11" s="380">
        <f>24+18</f>
        <v>42</v>
      </c>
      <c r="AW11" s="380">
        <f>15+15</f>
        <v>30</v>
      </c>
      <c r="AX11" s="385">
        <f>SUM(AU11:AW11)</f>
        <v>99</v>
      </c>
      <c r="AY11" s="380">
        <f>21+21</f>
        <v>42</v>
      </c>
      <c r="AZ11" s="380">
        <f>63+44</f>
        <v>107</v>
      </c>
      <c r="BA11" s="380">
        <f>79+36</f>
        <v>115</v>
      </c>
      <c r="BB11" s="385">
        <f t="shared" ref="BB11:BB17" si="17">SUM(AY11:BA11)</f>
        <v>264</v>
      </c>
      <c r="BC11" s="378">
        <f>SUM(AX11,BB11)</f>
        <v>363</v>
      </c>
      <c r="BD11" s="244">
        <f>BC11+AT11+AA11+H11</f>
        <v>2206</v>
      </c>
    </row>
    <row r="12" spans="1:56" ht="45" customHeight="1">
      <c r="A12" s="386"/>
      <c r="B12" s="240" t="s">
        <v>226</v>
      </c>
      <c r="C12" s="241">
        <v>2</v>
      </c>
      <c r="D12" s="241">
        <f>42-2</f>
        <v>40</v>
      </c>
      <c r="E12" s="241">
        <f>97-42</f>
        <v>55</v>
      </c>
      <c r="F12" s="241">
        <f>234-97</f>
        <v>137</v>
      </c>
      <c r="G12" s="242">
        <f>SUM(D12:F12)</f>
        <v>232</v>
      </c>
      <c r="H12" s="436">
        <f>SUM(C12:F12)</f>
        <v>234</v>
      </c>
      <c r="I12" s="579">
        <f>465-234</f>
        <v>231</v>
      </c>
      <c r="J12" s="579">
        <f>656-465</f>
        <v>191</v>
      </c>
      <c r="K12" s="579">
        <f>845-656</f>
        <v>189</v>
      </c>
      <c r="L12" s="439">
        <f>SUM(I12:K12)</f>
        <v>611</v>
      </c>
      <c r="M12" s="579">
        <f>1091-845</f>
        <v>246</v>
      </c>
      <c r="N12" s="579">
        <f>1407-1091</f>
        <v>316</v>
      </c>
      <c r="O12" s="579">
        <f>1758-1407</f>
        <v>351</v>
      </c>
      <c r="P12" s="439">
        <f>SUM(M12:O12)</f>
        <v>913</v>
      </c>
      <c r="Q12" s="438">
        <f>SUM(I12:K12)+SUM(M12:O12)</f>
        <v>1524</v>
      </c>
      <c r="R12" s="579">
        <f>1994-1758</f>
        <v>236</v>
      </c>
      <c r="S12" s="579">
        <f>2106-1994</f>
        <v>112</v>
      </c>
      <c r="T12" s="579">
        <f>2480-2106</f>
        <v>374</v>
      </c>
      <c r="U12" s="439">
        <f>SUM(R12:T12)</f>
        <v>722</v>
      </c>
      <c r="V12" s="438">
        <f>SUM(I12:K12)+SUM(M12:O12)+SUM(R12:T12)</f>
        <v>2246</v>
      </c>
      <c r="W12" s="579">
        <f>2784-2480</f>
        <v>304</v>
      </c>
      <c r="X12" s="579">
        <f>3004-2784</f>
        <v>220</v>
      </c>
      <c r="Y12" s="579">
        <f>3154-3004+53</f>
        <v>203</v>
      </c>
      <c r="Z12" s="437">
        <f>SUM(W12:Y12)</f>
        <v>727</v>
      </c>
      <c r="AA12" s="436">
        <f>SUM(I12:K12)+SUM(M12:O12)+SUM(R12:T12)+SUM(W12:Y12)</f>
        <v>2973</v>
      </c>
      <c r="AB12" s="579">
        <f>3420+53+20-3154-53</f>
        <v>286</v>
      </c>
      <c r="AC12" s="579">
        <f>3751+53+20+12+21-3420-53-20</f>
        <v>364</v>
      </c>
      <c r="AD12" s="579">
        <f>4199+65+41+6-3751-65-41</f>
        <v>454</v>
      </c>
      <c r="AE12" s="439">
        <f>SUM(AB12:AD12)</f>
        <v>1104</v>
      </c>
      <c r="AF12" s="579">
        <f>4609+65+47-4199-65-47</f>
        <v>410</v>
      </c>
      <c r="AG12" s="579">
        <f>5090+65+47-4609-65-47</f>
        <v>481</v>
      </c>
      <c r="AH12" s="579">
        <f>5724+65+47-5090-65-47</f>
        <v>634</v>
      </c>
      <c r="AI12" s="439">
        <f>SUM(AF12:AH12)</f>
        <v>1525</v>
      </c>
      <c r="AJ12" s="438">
        <f>SUM(AB12:AD12)+SUM(AF12:AH12)</f>
        <v>2629</v>
      </c>
      <c r="AK12" s="579">
        <f>6053+65+47-5724-65-47</f>
        <v>329</v>
      </c>
      <c r="AL12" s="579">
        <f>6277+1-AL17+65+47-6053-65-47</f>
        <v>33</v>
      </c>
      <c r="AM12" s="579">
        <f>(6808-AM17)+65+47-(6277-AL17)-65-47</f>
        <v>592</v>
      </c>
      <c r="AN12" s="439">
        <f>SUM(AK12:AM12)</f>
        <v>954</v>
      </c>
      <c r="AO12" s="438">
        <f>SUM(AB12:AD12)+SUM(AF12:AH12)+SUM(AK12:AM12)</f>
        <v>3583</v>
      </c>
      <c r="AP12" s="579">
        <f>(7063-AP17)+65+47-(6808-AM17)-65-47</f>
        <v>306</v>
      </c>
      <c r="AQ12" s="579">
        <f>(7356-AQ17)+112-(7063-AP17)-112</f>
        <v>355</v>
      </c>
      <c r="AR12" s="579">
        <f>(7687-AR17)+112-(7356-AQ17)-112</f>
        <v>349</v>
      </c>
      <c r="AS12" s="437">
        <f t="shared" si="16"/>
        <v>1010</v>
      </c>
      <c r="AT12" s="436">
        <f>SUM(AB12:AD12)+SUM(AF12:AH12)+SUM(AK12:AM12)+SUM(AP12:AR12)</f>
        <v>4593</v>
      </c>
      <c r="AU12" s="380">
        <v>229</v>
      </c>
      <c r="AV12" s="380">
        <f>(8322-AV17)+112-(7920-AU17)-112</f>
        <v>402</v>
      </c>
      <c r="AW12" s="380">
        <f>(8915-AW17)+112-(8322-AV17)-112</f>
        <v>593</v>
      </c>
      <c r="AX12" s="385">
        <f>SUM(AU12:AW12)</f>
        <v>1224</v>
      </c>
      <c r="AY12" s="380">
        <v>316</v>
      </c>
      <c r="AZ12" s="380">
        <v>325</v>
      </c>
      <c r="BA12" s="380">
        <v>331</v>
      </c>
      <c r="BB12" s="385">
        <f t="shared" si="17"/>
        <v>972</v>
      </c>
      <c r="BC12" s="378">
        <f>SUM(AX12,BB12)</f>
        <v>2196</v>
      </c>
      <c r="BD12" s="244">
        <f>BC12+AT12+AA12+H12</f>
        <v>9996</v>
      </c>
    </row>
    <row r="13" spans="1:56" ht="39" customHeight="1">
      <c r="A13" s="386"/>
      <c r="B13" s="728" t="s">
        <v>227</v>
      </c>
      <c r="C13" s="729"/>
      <c r="D13" s="729"/>
      <c r="E13" s="729"/>
      <c r="F13" s="729"/>
      <c r="G13" s="730"/>
      <c r="H13" s="731"/>
      <c r="I13" s="732"/>
      <c r="J13" s="732"/>
      <c r="K13" s="732"/>
      <c r="L13" s="733"/>
      <c r="M13" s="732"/>
      <c r="N13" s="732"/>
      <c r="O13" s="732"/>
      <c r="P13" s="733"/>
      <c r="Q13" s="734"/>
      <c r="R13" s="732"/>
      <c r="S13" s="732"/>
      <c r="T13" s="732"/>
      <c r="U13" s="733"/>
      <c r="V13" s="734"/>
      <c r="W13" s="732"/>
      <c r="X13" s="732"/>
      <c r="Y13" s="732"/>
      <c r="Z13" s="733"/>
      <c r="AA13" s="731"/>
      <c r="AB13" s="732"/>
      <c r="AC13" s="732"/>
      <c r="AD13" s="732"/>
      <c r="AE13" s="733"/>
      <c r="AF13" s="732"/>
      <c r="AG13" s="732"/>
      <c r="AH13" s="732"/>
      <c r="AI13" s="733"/>
      <c r="AJ13" s="734"/>
      <c r="AK13" s="732"/>
      <c r="AL13" s="732"/>
      <c r="AM13" s="732"/>
      <c r="AN13" s="733"/>
      <c r="AO13" s="734"/>
      <c r="AP13" s="732"/>
      <c r="AQ13" s="732"/>
      <c r="AR13" s="732"/>
      <c r="AS13" s="733"/>
      <c r="AT13" s="731"/>
      <c r="AU13" s="735">
        <v>3</v>
      </c>
      <c r="AV13" s="736">
        <v>1</v>
      </c>
      <c r="AW13" s="736">
        <v>0</v>
      </c>
      <c r="AX13" s="385">
        <f>SUM(AU13:AW13)</f>
        <v>4</v>
      </c>
      <c r="AY13" s="736">
        <v>0</v>
      </c>
      <c r="AZ13" s="736">
        <v>0</v>
      </c>
      <c r="BA13" s="736">
        <v>0</v>
      </c>
      <c r="BB13" s="737">
        <f>SUM(AY13:BA13)</f>
        <v>0</v>
      </c>
      <c r="BC13" s="738">
        <f>SUM(BB13,AX13)</f>
        <v>4</v>
      </c>
      <c r="BD13" s="435">
        <f>BC13+AT13+AA13+H13</f>
        <v>4</v>
      </c>
    </row>
    <row r="14" spans="1:56" ht="50.25" customHeight="1" thickBot="1">
      <c r="A14" s="386"/>
      <c r="B14" s="389" t="s">
        <v>228</v>
      </c>
      <c r="C14" s="388">
        <v>0</v>
      </c>
      <c r="D14" s="388">
        <v>0</v>
      </c>
      <c r="E14" s="388">
        <v>0</v>
      </c>
      <c r="F14" s="388">
        <v>0</v>
      </c>
      <c r="G14" s="245">
        <f>SUM(D14:F14)</f>
        <v>0</v>
      </c>
      <c r="H14" s="431">
        <f>SUM(C14:F14)</f>
        <v>0</v>
      </c>
      <c r="I14" s="583">
        <v>9</v>
      </c>
      <c r="J14" s="583">
        <f>54-9</f>
        <v>45</v>
      </c>
      <c r="K14" s="583">
        <f>154-54</f>
        <v>100</v>
      </c>
      <c r="L14" s="434">
        <f>SUM(I14:K14)</f>
        <v>154</v>
      </c>
      <c r="M14" s="583">
        <f>360-154</f>
        <v>206</v>
      </c>
      <c r="N14" s="583">
        <f>1244-360</f>
        <v>884</v>
      </c>
      <c r="O14" s="583">
        <f>2077-1244</f>
        <v>833</v>
      </c>
      <c r="P14" s="434">
        <f>SUM(M14:O14)</f>
        <v>1923</v>
      </c>
      <c r="Q14" s="433">
        <f>SUM(I14:K14)+SUM(M14:O14)</f>
        <v>2077</v>
      </c>
      <c r="R14" s="583">
        <f>2394-2077</f>
        <v>317</v>
      </c>
      <c r="S14" s="583">
        <v>0</v>
      </c>
      <c r="T14" s="583">
        <f>2665-2394</f>
        <v>271</v>
      </c>
      <c r="U14" s="434">
        <f>SUM(R14:T14)</f>
        <v>588</v>
      </c>
      <c r="V14" s="433">
        <f>SUM(I14:K14)+SUM(M14:O14)+SUM(R14:T14)</f>
        <v>2665</v>
      </c>
      <c r="W14" s="583">
        <f>3124-2665</f>
        <v>459</v>
      </c>
      <c r="X14" s="583">
        <f>3417-3124</f>
        <v>293</v>
      </c>
      <c r="Y14" s="583">
        <f>3503-3417+10</f>
        <v>96</v>
      </c>
      <c r="Z14" s="432">
        <f>SUM(W14:Y14)</f>
        <v>848</v>
      </c>
      <c r="AA14" s="431">
        <f>SUM(I14:K14)+SUM(M14:O14)+SUM(R14:T14)+SUM(W14:Y14)</f>
        <v>3513</v>
      </c>
      <c r="AB14" s="583">
        <f>3971+10-3503-10+5</f>
        <v>473</v>
      </c>
      <c r="AC14" s="583">
        <f>4403+10+5+6+7-3971-10-5</f>
        <v>445</v>
      </c>
      <c r="AD14" s="583">
        <f>4693+16+12+5-4403-16-12</f>
        <v>295</v>
      </c>
      <c r="AE14" s="434">
        <f>SUM(AB14:AD14)</f>
        <v>1213</v>
      </c>
      <c r="AF14" s="583">
        <f>5126+16+17-4693-16-17</f>
        <v>433</v>
      </c>
      <c r="AG14" s="583">
        <f>5547+16+17-5126-16-17</f>
        <v>421</v>
      </c>
      <c r="AH14" s="583">
        <f>5884+16+17-5547-16-17</f>
        <v>337</v>
      </c>
      <c r="AI14" s="434">
        <f>SUM(AF14:AH14)</f>
        <v>1191</v>
      </c>
      <c r="AJ14" s="433">
        <f>SUM(AB14:AD14)+SUM(AF14:AH14)</f>
        <v>2404</v>
      </c>
      <c r="AK14" s="583">
        <f>6072+16+17-5884-16-17</f>
        <v>188</v>
      </c>
      <c r="AL14" s="583">
        <v>0</v>
      </c>
      <c r="AM14" s="583">
        <f>7020+16+17-6072-16-17</f>
        <v>948</v>
      </c>
      <c r="AN14" s="434">
        <f>SUM(AK14:AM14)</f>
        <v>1136</v>
      </c>
      <c r="AO14" s="433">
        <f>SUM(AB14:AD14)+SUM(AF14:AH14)+SUM(AK14:AM14)</f>
        <v>3540</v>
      </c>
      <c r="AP14" s="583">
        <f>7204+16+17-7020-16-17</f>
        <v>184</v>
      </c>
      <c r="AQ14" s="583">
        <f>7407+33-7204-33</f>
        <v>203</v>
      </c>
      <c r="AR14" s="583">
        <f>7684+33-7407-33</f>
        <v>277</v>
      </c>
      <c r="AS14" s="432">
        <f t="shared" si="16"/>
        <v>664</v>
      </c>
      <c r="AT14" s="431">
        <f>SUM(AB14:AD14)+SUM(AF14:AH14)+SUM(AK14:AM14)+SUM(AP14:AR14)</f>
        <v>4204</v>
      </c>
      <c r="AU14" s="387">
        <v>228</v>
      </c>
      <c r="AV14" s="387">
        <v>200</v>
      </c>
      <c r="AW14" s="387">
        <v>392</v>
      </c>
      <c r="AX14" s="430">
        <f>SUM(AU14:AW14)</f>
        <v>820</v>
      </c>
      <c r="AY14" s="387">
        <v>200</v>
      </c>
      <c r="AZ14" s="387">
        <v>118</v>
      </c>
      <c r="BA14" s="387">
        <v>29</v>
      </c>
      <c r="BB14" s="430">
        <f t="shared" si="17"/>
        <v>347</v>
      </c>
      <c r="BC14" s="376">
        <f>SUM(AX14,BB14)</f>
        <v>1167</v>
      </c>
      <c r="BD14" s="247">
        <f>BC14+AT14+AA14+H14</f>
        <v>8884</v>
      </c>
    </row>
    <row r="15" spans="1:56" s="419" customFormat="1" ht="13.5" hidden="1" customHeight="1" thickTop="1" thickBot="1">
      <c r="A15" s="1162"/>
      <c r="B15" s="429" t="s">
        <v>229</v>
      </c>
      <c r="C15" s="428"/>
      <c r="D15" s="428"/>
      <c r="E15" s="428"/>
      <c r="F15" s="428"/>
      <c r="G15" s="428"/>
      <c r="H15" s="427"/>
      <c r="I15" s="426"/>
      <c r="J15" s="426"/>
      <c r="K15" s="426"/>
      <c r="L15" s="425"/>
      <c r="M15" s="426"/>
      <c r="N15" s="426"/>
      <c r="O15" s="426"/>
      <c r="P15" s="425"/>
      <c r="Q15" s="425"/>
      <c r="R15" s="426"/>
      <c r="S15" s="426"/>
      <c r="T15" s="426"/>
      <c r="U15" s="425"/>
      <c r="V15" s="425"/>
      <c r="W15" s="426"/>
      <c r="X15" s="426"/>
      <c r="Y15" s="426"/>
      <c r="Z15" s="425"/>
      <c r="AA15" s="426"/>
      <c r="AB15" s="426"/>
      <c r="AC15" s="426"/>
      <c r="AD15" s="426"/>
      <c r="AE15" s="425"/>
      <c r="AF15" s="426"/>
      <c r="AG15" s="426"/>
      <c r="AH15" s="426"/>
      <c r="AI15" s="425"/>
      <c r="AJ15" s="425"/>
      <c r="AK15" s="584" t="s">
        <v>230</v>
      </c>
      <c r="AL15" s="423">
        <f>SUM(AL16:AL17)</f>
        <v>192</v>
      </c>
      <c r="AM15" s="423">
        <f>SUM(AM16:AM17)</f>
        <v>131</v>
      </c>
      <c r="AN15" s="424">
        <f>AN16+AN17</f>
        <v>323</v>
      </c>
      <c r="AO15" s="424">
        <f>SUM(AN15)</f>
        <v>323</v>
      </c>
      <c r="AP15" s="423">
        <f>SUM(AP16:AP17)</f>
        <v>80</v>
      </c>
      <c r="AQ15" s="423">
        <f>SUM(AQ16:AQ17)</f>
        <v>18</v>
      </c>
      <c r="AR15" s="423">
        <f>SUM(AR16:AR17)</f>
        <v>0</v>
      </c>
      <c r="AS15" s="422">
        <f t="shared" si="16"/>
        <v>98</v>
      </c>
      <c r="AT15" s="421">
        <f>SUM(AN15,AS15)</f>
        <v>421</v>
      </c>
      <c r="AU15" s="423">
        <f t="shared" ref="AU15:BD15" si="18">SUM(AU16:AU17)</f>
        <v>0</v>
      </c>
      <c r="AV15" s="423">
        <f t="shared" si="18"/>
        <v>0</v>
      </c>
      <c r="AW15" s="423">
        <f t="shared" si="18"/>
        <v>0</v>
      </c>
      <c r="AX15" s="422">
        <f t="shared" si="18"/>
        <v>0</v>
      </c>
      <c r="AY15" s="423">
        <f>SUM(AY16:AY17)</f>
        <v>0</v>
      </c>
      <c r="AZ15" s="423"/>
      <c r="BA15" s="423"/>
      <c r="BB15" s="422">
        <f t="shared" si="17"/>
        <v>0</v>
      </c>
      <c r="BC15" s="421">
        <f t="shared" si="18"/>
        <v>0</v>
      </c>
      <c r="BD15" s="420">
        <f t="shared" si="18"/>
        <v>421</v>
      </c>
    </row>
    <row r="16" spans="1:56" s="408" customFormat="1" ht="12.75" hidden="1" thickBot="1">
      <c r="A16" s="1163"/>
      <c r="B16" s="248" t="s">
        <v>231</v>
      </c>
      <c r="C16" s="418"/>
      <c r="D16" s="417"/>
      <c r="E16" s="417"/>
      <c r="F16" s="417"/>
      <c r="G16" s="416"/>
      <c r="H16" s="415"/>
      <c r="I16" s="414"/>
      <c r="J16" s="414"/>
      <c r="K16" s="414"/>
      <c r="L16" s="413"/>
      <c r="M16" s="414"/>
      <c r="N16" s="414"/>
      <c r="O16" s="414"/>
      <c r="P16" s="413"/>
      <c r="Q16" s="412"/>
      <c r="R16" s="414"/>
      <c r="S16" s="414"/>
      <c r="T16" s="414"/>
      <c r="U16" s="413"/>
      <c r="V16" s="412"/>
      <c r="W16" s="414"/>
      <c r="X16" s="414"/>
      <c r="Y16" s="414"/>
      <c r="Z16" s="413"/>
      <c r="AA16" s="414"/>
      <c r="AB16" s="414"/>
      <c r="AC16" s="414"/>
      <c r="AD16" s="414"/>
      <c r="AE16" s="413"/>
      <c r="AF16" s="414"/>
      <c r="AG16" s="414"/>
      <c r="AH16" s="414"/>
      <c r="AI16" s="413"/>
      <c r="AJ16" s="412"/>
      <c r="AK16" s="585" t="s">
        <v>230</v>
      </c>
      <c r="AL16" s="410">
        <v>0</v>
      </c>
      <c r="AM16" s="410">
        <v>0</v>
      </c>
      <c r="AN16" s="249">
        <f>SUM(AK16:AM16)</f>
        <v>0</v>
      </c>
      <c r="AO16" s="411">
        <f>SUM(AB16:AD16)+SUM(AF16:AH16)+SUM(AK16:AM16)</f>
        <v>0</v>
      </c>
      <c r="AP16" s="410">
        <v>0</v>
      </c>
      <c r="AQ16" s="410">
        <v>0</v>
      </c>
      <c r="AR16" s="410">
        <v>0</v>
      </c>
      <c r="AS16" s="249">
        <f t="shared" si="16"/>
        <v>0</v>
      </c>
      <c r="AT16" s="409">
        <f>SUM(AB16:AD16)+SUM(AF16:AH16)+SUM(AK16:AM16)+SUM(AP16:AR16)</f>
        <v>0</v>
      </c>
      <c r="AU16" s="410">
        <v>0</v>
      </c>
      <c r="AV16" s="410">
        <v>0</v>
      </c>
      <c r="AW16" s="410">
        <v>0</v>
      </c>
      <c r="AX16" s="249">
        <f>SUM(AU16:AW16)</f>
        <v>0</v>
      </c>
      <c r="AY16" s="410">
        <v>0</v>
      </c>
      <c r="AZ16" s="410"/>
      <c r="BA16" s="410"/>
      <c r="BB16" s="249">
        <f t="shared" si="17"/>
        <v>0</v>
      </c>
      <c r="BC16" s="409">
        <f>SUM(AX16,BB16)</f>
        <v>0</v>
      </c>
      <c r="BD16" s="250">
        <f>SUM(BC16,AT16)</f>
        <v>0</v>
      </c>
    </row>
    <row r="17" spans="1:56" s="394" customFormat="1" ht="15.75" hidden="1" thickBot="1">
      <c r="A17" s="1164"/>
      <c r="B17" s="407" t="s">
        <v>232</v>
      </c>
      <c r="C17" s="406"/>
      <c r="D17" s="405"/>
      <c r="E17" s="405"/>
      <c r="F17" s="405"/>
      <c r="G17" s="404"/>
      <c r="H17" s="403"/>
      <c r="I17" s="402"/>
      <c r="J17" s="402"/>
      <c r="K17" s="402"/>
      <c r="L17" s="401"/>
      <c r="M17" s="402"/>
      <c r="N17" s="402"/>
      <c r="O17" s="402"/>
      <c r="P17" s="401"/>
      <c r="Q17" s="400"/>
      <c r="R17" s="402"/>
      <c r="S17" s="402"/>
      <c r="T17" s="402"/>
      <c r="U17" s="401"/>
      <c r="V17" s="400"/>
      <c r="W17" s="402"/>
      <c r="X17" s="402"/>
      <c r="Y17" s="402"/>
      <c r="Z17" s="401"/>
      <c r="AA17" s="402"/>
      <c r="AB17" s="402"/>
      <c r="AC17" s="402"/>
      <c r="AD17" s="402"/>
      <c r="AE17" s="401"/>
      <c r="AF17" s="402"/>
      <c r="AG17" s="402"/>
      <c r="AH17" s="402"/>
      <c r="AI17" s="401"/>
      <c r="AJ17" s="400"/>
      <c r="AK17" s="586" t="s">
        <v>230</v>
      </c>
      <c r="AL17" s="398">
        <v>192</v>
      </c>
      <c r="AM17" s="398">
        <f>32+30+32+37</f>
        <v>131</v>
      </c>
      <c r="AN17" s="397">
        <f>SUM(AK17:AM17)</f>
        <v>323</v>
      </c>
      <c r="AO17" s="399">
        <f>SUM(AB17:AD17)+SUM(AF17:AH17)+SUM(AK17:AM17)</f>
        <v>323</v>
      </c>
      <c r="AP17" s="398">
        <f>41+20+4+15</f>
        <v>80</v>
      </c>
      <c r="AQ17" s="398">
        <v>18</v>
      </c>
      <c r="AR17" s="398">
        <v>0</v>
      </c>
      <c r="AS17" s="397">
        <f t="shared" si="16"/>
        <v>98</v>
      </c>
      <c r="AT17" s="396">
        <f>SUM(AB17:AD17)+SUM(AF17:AH17)+SUM(AK17:AM17)+SUM(AP17:AR17)</f>
        <v>421</v>
      </c>
      <c r="AU17" s="398">
        <v>0</v>
      </c>
      <c r="AV17" s="398">
        <v>0</v>
      </c>
      <c r="AW17" s="398">
        <v>0</v>
      </c>
      <c r="AX17" s="397">
        <f>SUM(AU17:AW17)</f>
        <v>0</v>
      </c>
      <c r="AY17" s="398">
        <v>0</v>
      </c>
      <c r="AZ17" s="398"/>
      <c r="BA17" s="398"/>
      <c r="BB17" s="397">
        <f t="shared" si="17"/>
        <v>0</v>
      </c>
      <c r="BC17" s="396">
        <f>SUM(AX17,BB17)</f>
        <v>0</v>
      </c>
      <c r="BD17" s="395">
        <f>SUM(BC17,AT17)</f>
        <v>421</v>
      </c>
    </row>
    <row r="18" spans="1:56" s="394" customFormat="1" ht="18.75" customHeight="1" thickBot="1">
      <c r="A18" s="526"/>
      <c r="B18" s="527"/>
      <c r="C18" s="587"/>
      <c r="D18" s="587"/>
      <c r="E18" s="587"/>
      <c r="F18" s="587"/>
      <c r="G18" s="251"/>
      <c r="H18" s="528"/>
      <c r="I18" s="528"/>
      <c r="J18" s="528"/>
      <c r="K18" s="528"/>
      <c r="L18" s="251"/>
      <c r="M18" s="528"/>
      <c r="N18" s="528"/>
      <c r="O18" s="528"/>
      <c r="P18" s="251"/>
      <c r="Q18" s="588"/>
      <c r="R18" s="528"/>
      <c r="S18" s="528"/>
      <c r="T18" s="528"/>
      <c r="U18" s="251"/>
      <c r="V18" s="588"/>
      <c r="W18" s="528"/>
      <c r="X18" s="528"/>
      <c r="Y18" s="528"/>
      <c r="Z18" s="251"/>
      <c r="AA18" s="528"/>
      <c r="AB18" s="528"/>
      <c r="AC18" s="528"/>
      <c r="AD18" s="528"/>
      <c r="AE18" s="251"/>
      <c r="AF18" s="528"/>
      <c r="AG18" s="528"/>
      <c r="AH18" s="528"/>
      <c r="AI18" s="251"/>
      <c r="AJ18" s="588"/>
      <c r="AK18" s="529"/>
      <c r="AL18" s="528"/>
      <c r="AM18" s="528"/>
      <c r="AN18" s="251"/>
      <c r="AO18" s="588"/>
      <c r="AP18" s="528"/>
      <c r="AQ18" s="528"/>
      <c r="AR18" s="528"/>
      <c r="AS18" s="251"/>
      <c r="AT18" s="528"/>
      <c r="AU18" s="528"/>
      <c r="AV18" s="528"/>
      <c r="AW18" s="528"/>
      <c r="AX18" s="251"/>
      <c r="AY18" s="528"/>
      <c r="AZ18" s="739"/>
      <c r="BA18" s="528"/>
      <c r="BB18" s="251"/>
      <c r="BC18" s="528"/>
      <c r="BD18" s="589"/>
    </row>
    <row r="19" spans="1:56" ht="27.75" customHeight="1" thickBot="1">
      <c r="A19" s="1158" t="s">
        <v>233</v>
      </c>
      <c r="B19" s="1158"/>
      <c r="C19" s="252">
        <f>SUM(C20:C22)</f>
        <v>5</v>
      </c>
      <c r="D19" s="252">
        <f>SUM(D20:D22)</f>
        <v>45</v>
      </c>
      <c r="E19" s="252">
        <f>SUM(E20:E22)</f>
        <v>263</v>
      </c>
      <c r="F19" s="252">
        <f>SUM(F20:F22)</f>
        <v>208</v>
      </c>
      <c r="G19" s="253">
        <f>G20+G21+G22</f>
        <v>516</v>
      </c>
      <c r="H19" s="390">
        <f>H20+H21+H22</f>
        <v>521</v>
      </c>
      <c r="I19" s="393">
        <f>SUM(I20:I22)</f>
        <v>187</v>
      </c>
      <c r="J19" s="393">
        <f>SUM(J20:J22)</f>
        <v>424</v>
      </c>
      <c r="K19" s="393">
        <f>SUM(K20:K22)</f>
        <v>108</v>
      </c>
      <c r="L19" s="253">
        <f>L20+L21+L22</f>
        <v>719</v>
      </c>
      <c r="M19" s="393">
        <f>SUM(M20:M22)</f>
        <v>94</v>
      </c>
      <c r="N19" s="393">
        <f>SUM(N20:N22)</f>
        <v>83</v>
      </c>
      <c r="O19" s="393">
        <f>SUM(O20:O22)</f>
        <v>93</v>
      </c>
      <c r="P19" s="253">
        <f>P20+P21+P22</f>
        <v>270</v>
      </c>
      <c r="Q19" s="254">
        <f>Q20+Q21+Q22</f>
        <v>989</v>
      </c>
      <c r="R19" s="393">
        <f>SUM(R20:R22)</f>
        <v>141</v>
      </c>
      <c r="S19" s="393">
        <f>SUM(S20:S22)</f>
        <v>144</v>
      </c>
      <c r="T19" s="393">
        <f>SUM(T20:T22)</f>
        <v>99</v>
      </c>
      <c r="U19" s="253">
        <f>U20+U21+U22</f>
        <v>384</v>
      </c>
      <c r="V19" s="254">
        <f>V20+V21+V22</f>
        <v>1373</v>
      </c>
      <c r="W19" s="393">
        <f>SUM(W20:W22)</f>
        <v>167</v>
      </c>
      <c r="X19" s="393">
        <f>SUM(X20:X22)</f>
        <v>69</v>
      </c>
      <c r="Y19" s="393">
        <f>SUM(Y20:Y22)</f>
        <v>150</v>
      </c>
      <c r="Z19" s="255">
        <f>Z20+Z21+Z22</f>
        <v>386</v>
      </c>
      <c r="AA19" s="390">
        <f>AA20+AA21+AA22</f>
        <v>1759</v>
      </c>
      <c r="AB19" s="393">
        <f>SUM(AB20:AB22)</f>
        <v>115</v>
      </c>
      <c r="AC19" s="393">
        <f>SUM(AC20:AC22)</f>
        <v>294</v>
      </c>
      <c r="AD19" s="393">
        <f>SUM(AD20:AD22)</f>
        <v>190</v>
      </c>
      <c r="AE19" s="253">
        <f>AE20+AE21+AE22</f>
        <v>599</v>
      </c>
      <c r="AF19" s="393">
        <f>SUM(AF20:AF22)</f>
        <v>132</v>
      </c>
      <c r="AG19" s="393">
        <f>SUM(AG20:AG22)</f>
        <v>83</v>
      </c>
      <c r="AH19" s="393">
        <f>SUM(AH20:AH22)</f>
        <v>76</v>
      </c>
      <c r="AI19" s="253">
        <f>AI20+AI21+AI22</f>
        <v>291</v>
      </c>
      <c r="AJ19" s="254">
        <f>AJ20+AJ21+AJ22</f>
        <v>890</v>
      </c>
      <c r="AK19" s="393">
        <f>SUM(AK20:AK22)</f>
        <v>160</v>
      </c>
      <c r="AL19" s="393">
        <f>SUM(AL20:AL22)</f>
        <v>124</v>
      </c>
      <c r="AM19" s="393">
        <f>SUM(AM20:AM22)</f>
        <v>53</v>
      </c>
      <c r="AN19" s="253">
        <f>AN20+AN21+AN22</f>
        <v>337</v>
      </c>
      <c r="AO19" s="254">
        <f>AO20+AO21+AO22</f>
        <v>1227</v>
      </c>
      <c r="AP19" s="393">
        <f>SUM(AP20:AP22)</f>
        <v>125</v>
      </c>
      <c r="AQ19" s="393">
        <f>SUM(AQ20:AQ22)</f>
        <v>140</v>
      </c>
      <c r="AR19" s="393">
        <f>SUM(AR20:AR22)</f>
        <v>247</v>
      </c>
      <c r="AS19" s="255">
        <f>AS20+AS21+AS22</f>
        <v>512</v>
      </c>
      <c r="AT19" s="390">
        <f>AT20+AT21+AT22</f>
        <v>1739</v>
      </c>
      <c r="AU19" s="393">
        <f>SUM(AU20:AU22)</f>
        <v>170</v>
      </c>
      <c r="AV19" s="393">
        <f>SUM(AV20:AV22)</f>
        <v>159</v>
      </c>
      <c r="AW19" s="392">
        <f>SUM(AW20:AW22)</f>
        <v>74</v>
      </c>
      <c r="AX19" s="391">
        <f>AX20+AX21+AX22</f>
        <v>403</v>
      </c>
      <c r="AY19" s="393">
        <f>SUM(AY20:AY22)</f>
        <v>115</v>
      </c>
      <c r="AZ19" s="393">
        <f>SUM(AZ20:AZ22)</f>
        <v>100</v>
      </c>
      <c r="BA19" s="392">
        <f>SUM(BA20:BA22)</f>
        <v>92</v>
      </c>
      <c r="BB19" s="391">
        <f>BB20+BB21+BB22</f>
        <v>307</v>
      </c>
      <c r="BC19" s="390">
        <f>BC20+BC21+BC22</f>
        <v>710</v>
      </c>
      <c r="BD19" s="237">
        <f>SUM(BD20:BD22)</f>
        <v>4729</v>
      </c>
    </row>
    <row r="20" spans="1:56" ht="26.25" customHeight="1">
      <c r="A20" s="386"/>
      <c r="B20" s="740" t="s">
        <v>234</v>
      </c>
      <c r="C20" s="741">
        <v>1</v>
      </c>
      <c r="D20" s="741">
        <v>1</v>
      </c>
      <c r="E20" s="741">
        <v>0</v>
      </c>
      <c r="F20" s="741">
        <v>16</v>
      </c>
      <c r="G20" s="242">
        <f>SUM(D20:F20)</f>
        <v>17</v>
      </c>
      <c r="H20" s="378">
        <f>SUM(C20:F20)</f>
        <v>18</v>
      </c>
      <c r="I20" s="742">
        <f>41-18</f>
        <v>23</v>
      </c>
      <c r="J20" s="742">
        <f>62-41</f>
        <v>21</v>
      </c>
      <c r="K20" s="742">
        <f>71-62</f>
        <v>9</v>
      </c>
      <c r="L20" s="242">
        <f>SUM(I20:K20)</f>
        <v>53</v>
      </c>
      <c r="M20" s="742">
        <f>73-71</f>
        <v>2</v>
      </c>
      <c r="N20" s="742">
        <v>0</v>
      </c>
      <c r="O20" s="742">
        <v>2</v>
      </c>
      <c r="P20" s="242">
        <f>SUM(M20:O20)</f>
        <v>4</v>
      </c>
      <c r="Q20" s="238">
        <f>SUM(I20:K20)+SUM(M20:O20)</f>
        <v>57</v>
      </c>
      <c r="R20" s="742">
        <f>78-75</f>
        <v>3</v>
      </c>
      <c r="S20" s="742">
        <f>80-78</f>
        <v>2</v>
      </c>
      <c r="T20" s="742">
        <f>80-80</f>
        <v>0</v>
      </c>
      <c r="U20" s="242">
        <f>SUM(R20:T20)</f>
        <v>5</v>
      </c>
      <c r="V20" s="238">
        <f>SUM(I20:K20)+SUM(M20:O20)+SUM(R20:T20)</f>
        <v>62</v>
      </c>
      <c r="W20" s="742">
        <f>90-80</f>
        <v>10</v>
      </c>
      <c r="X20" s="742">
        <f>90-90</f>
        <v>0</v>
      </c>
      <c r="Y20" s="742">
        <f>90-90</f>
        <v>0</v>
      </c>
      <c r="Z20" s="243">
        <f>SUM(W20:Y20)</f>
        <v>10</v>
      </c>
      <c r="AA20" s="378">
        <f>SUM(I20:K20)+SUM(M20:O20)+SUM(R20:T20)+SUM(W20:Y20)</f>
        <v>72</v>
      </c>
      <c r="AB20" s="742">
        <f>90-90</f>
        <v>0</v>
      </c>
      <c r="AC20" s="742">
        <f>90-90</f>
        <v>0</v>
      </c>
      <c r="AD20" s="742">
        <f>92-90</f>
        <v>2</v>
      </c>
      <c r="AE20" s="242">
        <f>SUM(AB20:AD20)</f>
        <v>2</v>
      </c>
      <c r="AF20" s="742">
        <f>92-92</f>
        <v>0</v>
      </c>
      <c r="AG20" s="742">
        <f>92-92</f>
        <v>0</v>
      </c>
      <c r="AH20" s="742">
        <f>92-92</f>
        <v>0</v>
      </c>
      <c r="AI20" s="242">
        <f>SUM(AF20:AH20)</f>
        <v>0</v>
      </c>
      <c r="AJ20" s="238">
        <f>SUM(AB20:AD20)+SUM(AF20:AH20)</f>
        <v>2</v>
      </c>
      <c r="AK20" s="742">
        <f>93-92</f>
        <v>1</v>
      </c>
      <c r="AL20" s="742">
        <f>93-93</f>
        <v>0</v>
      </c>
      <c r="AM20" s="742">
        <f>93-93</f>
        <v>0</v>
      </c>
      <c r="AN20" s="242">
        <f>SUM(AK20:AM20)</f>
        <v>1</v>
      </c>
      <c r="AO20" s="238">
        <f>SUM(AB20:AD20)+SUM(AF20:AH20)+SUM(AK20:AM20)</f>
        <v>3</v>
      </c>
      <c r="AP20" s="742">
        <f>119-93</f>
        <v>26</v>
      </c>
      <c r="AQ20" s="742">
        <f>122-119</f>
        <v>3</v>
      </c>
      <c r="AR20" s="742">
        <f>124-122</f>
        <v>2</v>
      </c>
      <c r="AS20" s="243">
        <f>SUM(AP20:AR20)</f>
        <v>31</v>
      </c>
      <c r="AT20" s="378">
        <f>SUM(AB20:AD20)+SUM(AF20:AH20)+SUM(AK20:AM20)+SUM(AP20:AR20)</f>
        <v>34</v>
      </c>
      <c r="AU20" s="742">
        <f>124-124</f>
        <v>0</v>
      </c>
      <c r="AV20" s="742">
        <f>128-124</f>
        <v>4</v>
      </c>
      <c r="AW20" s="742">
        <f>129-128</f>
        <v>1</v>
      </c>
      <c r="AX20" s="385">
        <f>SUM(AU20:AW20)</f>
        <v>5</v>
      </c>
      <c r="AY20" s="742">
        <v>2</v>
      </c>
      <c r="AZ20" s="742">
        <v>1</v>
      </c>
      <c r="BA20" s="742">
        <v>14</v>
      </c>
      <c r="BB20" s="385">
        <f>SUM(AY20:BA20)</f>
        <v>17</v>
      </c>
      <c r="BC20" s="378">
        <f>SUM(AX20,BB20)</f>
        <v>22</v>
      </c>
      <c r="BD20" s="239">
        <f>BC20+AT20+AA20+H20</f>
        <v>146</v>
      </c>
    </row>
    <row r="21" spans="1:56" ht="26.25" customHeight="1">
      <c r="A21" s="386"/>
      <c r="B21" s="389" t="s">
        <v>235</v>
      </c>
      <c r="C21" s="388">
        <v>1</v>
      </c>
      <c r="D21" s="388">
        <v>30</v>
      </c>
      <c r="E21" s="388">
        <f>111-31</f>
        <v>80</v>
      </c>
      <c r="F21" s="388">
        <f>252-111</f>
        <v>141</v>
      </c>
      <c r="G21" s="242">
        <f>SUM(D21:F21)</f>
        <v>251</v>
      </c>
      <c r="H21" s="378">
        <f>SUM(C21:F21)</f>
        <v>252</v>
      </c>
      <c r="I21" s="387">
        <f>337-252</f>
        <v>85</v>
      </c>
      <c r="J21" s="742">
        <f>436-337</f>
        <v>99</v>
      </c>
      <c r="K21" s="742">
        <f>467-436</f>
        <v>31</v>
      </c>
      <c r="L21" s="242">
        <f>SUM(I21:K21)</f>
        <v>215</v>
      </c>
      <c r="M21" s="387">
        <f>478-467</f>
        <v>11</v>
      </c>
      <c r="N21" s="387">
        <f>497-478</f>
        <v>19</v>
      </c>
      <c r="O21" s="387">
        <f>507-497</f>
        <v>10</v>
      </c>
      <c r="P21" s="242">
        <f>SUM(M21:O21)</f>
        <v>40</v>
      </c>
      <c r="Q21" s="238">
        <f>SUM(I21:K21)+SUM(M21:O21)</f>
        <v>255</v>
      </c>
      <c r="R21" s="387">
        <f>521-507</f>
        <v>14</v>
      </c>
      <c r="S21" s="387">
        <f>606-521</f>
        <v>85</v>
      </c>
      <c r="T21" s="387">
        <f>640-606</f>
        <v>34</v>
      </c>
      <c r="U21" s="242">
        <f>SUM(R21:T21)</f>
        <v>133</v>
      </c>
      <c r="V21" s="238">
        <f>SUM(I21:K21)+SUM(M21:O21)+SUM(R21:T21)</f>
        <v>388</v>
      </c>
      <c r="W21" s="387">
        <f>665-640</f>
        <v>25</v>
      </c>
      <c r="X21" s="387">
        <f>678-665</f>
        <v>13</v>
      </c>
      <c r="Y21" s="387">
        <f>700-678</f>
        <v>22</v>
      </c>
      <c r="Z21" s="243">
        <f>SUM(W21:Y21)</f>
        <v>60</v>
      </c>
      <c r="AA21" s="378">
        <f>SUM(I21:K21)+SUM(M21:O21)+SUM(R21:T21)+SUM(W21:Y21)</f>
        <v>448</v>
      </c>
      <c r="AB21" s="387">
        <f>700-700</f>
        <v>0</v>
      </c>
      <c r="AC21" s="387">
        <f>724-700</f>
        <v>24</v>
      </c>
      <c r="AD21" s="387">
        <f>740-724</f>
        <v>16</v>
      </c>
      <c r="AE21" s="242">
        <f>SUM(AB21:AD21)</f>
        <v>40</v>
      </c>
      <c r="AF21" s="387">
        <f>742-740</f>
        <v>2</v>
      </c>
      <c r="AG21" s="387">
        <f>746-742</f>
        <v>4</v>
      </c>
      <c r="AH21" s="387">
        <f>767-746</f>
        <v>21</v>
      </c>
      <c r="AI21" s="242">
        <f>SUM(AF21:AH21)</f>
        <v>27</v>
      </c>
      <c r="AJ21" s="238">
        <f>SUM(AB21:AD21)+SUM(AF21:AH21)</f>
        <v>67</v>
      </c>
      <c r="AK21" s="387">
        <f>797-767</f>
        <v>30</v>
      </c>
      <c r="AL21" s="387">
        <f>803-797</f>
        <v>6</v>
      </c>
      <c r="AM21" s="387">
        <f>824-803</f>
        <v>21</v>
      </c>
      <c r="AN21" s="242">
        <f>SUM(AK21:AM21)</f>
        <v>57</v>
      </c>
      <c r="AO21" s="238">
        <f>SUM(AB21:AD21)+SUM(AF21:AH21)+SUM(AK21:AM21)</f>
        <v>124</v>
      </c>
      <c r="AP21" s="387">
        <f>843-824</f>
        <v>19</v>
      </c>
      <c r="AQ21" s="387">
        <f>855-843</f>
        <v>12</v>
      </c>
      <c r="AR21" s="387">
        <f>908-855</f>
        <v>53</v>
      </c>
      <c r="AS21" s="243">
        <f>SUM(AP21:AR21)</f>
        <v>84</v>
      </c>
      <c r="AT21" s="378">
        <f>SUM(AB21:AD21)+SUM(AF21:AH21)+SUM(AK21:AM21)+SUM(AP21:AR21)</f>
        <v>208</v>
      </c>
      <c r="AU21" s="387">
        <f>908-908</f>
        <v>0</v>
      </c>
      <c r="AV21" s="387">
        <f>925-908</f>
        <v>17</v>
      </c>
      <c r="AW21" s="387">
        <f>935-925</f>
        <v>10</v>
      </c>
      <c r="AX21" s="385">
        <f>SUM(AU21:AW21)</f>
        <v>27</v>
      </c>
      <c r="AY21" s="387">
        <v>44</v>
      </c>
      <c r="AZ21" s="387">
        <v>48</v>
      </c>
      <c r="BA21" s="387">
        <v>53</v>
      </c>
      <c r="BB21" s="385">
        <f>SUM(AY21:BA21)</f>
        <v>145</v>
      </c>
      <c r="BC21" s="378">
        <f>SUM(AX21,BB21)</f>
        <v>172</v>
      </c>
      <c r="BD21" s="239">
        <f>BC21+AT21+AA21+H21</f>
        <v>1080</v>
      </c>
    </row>
    <row r="22" spans="1:56" ht="36" customHeight="1" thickBot="1">
      <c r="A22" s="386"/>
      <c r="B22" s="743" t="s">
        <v>236</v>
      </c>
      <c r="C22" s="744">
        <v>3</v>
      </c>
      <c r="D22" s="744">
        <v>14</v>
      </c>
      <c r="E22" s="744">
        <v>183</v>
      </c>
      <c r="F22" s="744">
        <v>51</v>
      </c>
      <c r="G22" s="745">
        <f>SUM(D22:F22)</f>
        <v>248</v>
      </c>
      <c r="H22" s="746">
        <f>SUM(C22:F22)</f>
        <v>251</v>
      </c>
      <c r="I22" s="721">
        <f>330-251</f>
        <v>79</v>
      </c>
      <c r="J22" s="721">
        <f>634-330</f>
        <v>304</v>
      </c>
      <c r="K22" s="721">
        <f>702-634</f>
        <v>68</v>
      </c>
      <c r="L22" s="745">
        <f>SUM(I22:K22)</f>
        <v>451</v>
      </c>
      <c r="M22" s="721">
        <f>783-702</f>
        <v>81</v>
      </c>
      <c r="N22" s="721">
        <f>847-783</f>
        <v>64</v>
      </c>
      <c r="O22" s="721">
        <f>928-847</f>
        <v>81</v>
      </c>
      <c r="P22" s="745">
        <f>SUM(M22:O22)</f>
        <v>226</v>
      </c>
      <c r="Q22" s="747">
        <f>SUM(I22:K22)+SUM(M22:O22)</f>
        <v>677</v>
      </c>
      <c r="R22" s="721">
        <f>1052-928</f>
        <v>124</v>
      </c>
      <c r="S22" s="721">
        <f>1109-1052</f>
        <v>57</v>
      </c>
      <c r="T22" s="721">
        <f>1174-1109</f>
        <v>65</v>
      </c>
      <c r="U22" s="745">
        <f>SUM(R22:T22)</f>
        <v>246</v>
      </c>
      <c r="V22" s="747">
        <f>SUM(I22:K22)+SUM(M22:O22)+SUM(R22:T22)</f>
        <v>923</v>
      </c>
      <c r="W22" s="721">
        <f>1306-1174</f>
        <v>132</v>
      </c>
      <c r="X22" s="721">
        <f>1362-1306</f>
        <v>56</v>
      </c>
      <c r="Y22" s="721">
        <f>1490-1362</f>
        <v>128</v>
      </c>
      <c r="Z22" s="246">
        <f>SUM(W22:Y22)</f>
        <v>316</v>
      </c>
      <c r="AA22" s="746">
        <f>SUM(I22:K22)+SUM(M22:O22)+SUM(R22:T22)+SUM(W22:Y22)</f>
        <v>1239</v>
      </c>
      <c r="AB22" s="721">
        <f>1605-1490</f>
        <v>115</v>
      </c>
      <c r="AC22" s="721">
        <f>1875-1605</f>
        <v>270</v>
      </c>
      <c r="AD22" s="721">
        <f>2047-1875</f>
        <v>172</v>
      </c>
      <c r="AE22" s="745">
        <f>SUM(AB22:AD22)</f>
        <v>557</v>
      </c>
      <c r="AF22" s="721">
        <f>2177-2047</f>
        <v>130</v>
      </c>
      <c r="AG22" s="721">
        <f>2256-2177</f>
        <v>79</v>
      </c>
      <c r="AH22" s="748">
        <f>2311-2256</f>
        <v>55</v>
      </c>
      <c r="AI22" s="745">
        <f>SUM(AF22:AH22)</f>
        <v>264</v>
      </c>
      <c r="AJ22" s="747">
        <f>SUM(AB22:AD22)+SUM(AF22:AH22)</f>
        <v>821</v>
      </c>
      <c r="AK22" s="721">
        <f>2440-2311</f>
        <v>129</v>
      </c>
      <c r="AL22" s="721">
        <f>2558-2440</f>
        <v>118</v>
      </c>
      <c r="AM22" s="721">
        <f>2590-2558</f>
        <v>32</v>
      </c>
      <c r="AN22" s="745">
        <f>SUM(AK22:AM22)</f>
        <v>279</v>
      </c>
      <c r="AO22" s="747">
        <f>SUM(AB22:AD22)+SUM(AF22:AH22)+SUM(AK22:AM22)</f>
        <v>1100</v>
      </c>
      <c r="AP22" s="721">
        <f>2670-2590</f>
        <v>80</v>
      </c>
      <c r="AQ22" s="721">
        <f>2795-2670</f>
        <v>125</v>
      </c>
      <c r="AR22" s="721">
        <f>2987-2795</f>
        <v>192</v>
      </c>
      <c r="AS22" s="246">
        <f>SUM(AP22:AR22)</f>
        <v>397</v>
      </c>
      <c r="AT22" s="376">
        <f>SUM(AB22:AD22)+SUM(AF22:AH22)+SUM(AK22:AM22)+SUM(AP22:AR22)</f>
        <v>1497</v>
      </c>
      <c r="AU22" s="721">
        <f>3157-2987</f>
        <v>170</v>
      </c>
      <c r="AV22" s="721">
        <f>3295-3157</f>
        <v>138</v>
      </c>
      <c r="AW22" s="721">
        <f>3358-3295</f>
        <v>63</v>
      </c>
      <c r="AX22" s="385">
        <f>SUM(AU22:AW22)</f>
        <v>371</v>
      </c>
      <c r="AY22" s="721">
        <v>69</v>
      </c>
      <c r="AZ22" s="721">
        <v>51</v>
      </c>
      <c r="BA22" s="721">
        <v>25</v>
      </c>
      <c r="BB22" s="385">
        <f>SUM(AY22:BA22)</f>
        <v>145</v>
      </c>
      <c r="BC22" s="376">
        <f>SUM(AX22,BB22)</f>
        <v>516</v>
      </c>
      <c r="BD22" s="256">
        <f>BC22+AT22+AA22+H22</f>
        <v>3503</v>
      </c>
    </row>
    <row r="23" spans="1:56" ht="34.5" customHeight="1" thickBot="1">
      <c r="A23" s="590"/>
      <c r="B23" s="591"/>
      <c r="C23" s="592"/>
      <c r="D23" s="592"/>
      <c r="E23" s="592"/>
      <c r="F23" s="592"/>
      <c r="G23" s="257"/>
      <c r="H23" s="459"/>
      <c r="I23" s="459"/>
      <c r="J23" s="459"/>
      <c r="K23" s="459"/>
      <c r="L23" s="257"/>
      <c r="M23" s="459"/>
      <c r="N23" s="459"/>
      <c r="O23" s="459"/>
      <c r="P23" s="257"/>
      <c r="Q23" s="235"/>
      <c r="R23" s="459"/>
      <c r="S23" s="459"/>
      <c r="T23" s="459"/>
      <c r="U23" s="257"/>
      <c r="V23" s="235"/>
      <c r="W23" s="459"/>
      <c r="X23" s="459"/>
      <c r="Y23" s="459"/>
      <c r="Z23" s="257"/>
      <c r="AA23" s="459"/>
      <c r="AB23" s="459"/>
      <c r="AC23" s="459"/>
      <c r="AD23" s="459"/>
      <c r="AE23" s="257"/>
      <c r="AF23" s="459"/>
      <c r="AG23" s="459"/>
      <c r="AH23" s="593" t="s">
        <v>15</v>
      </c>
      <c r="AI23" s="1153" t="s">
        <v>237</v>
      </c>
      <c r="AJ23" s="1153"/>
      <c r="AK23" s="1153"/>
      <c r="AL23" s="1153"/>
      <c r="AM23" s="1153"/>
      <c r="AN23" s="1153"/>
      <c r="AO23" s="1153"/>
      <c r="AP23" s="1153"/>
      <c r="AQ23" s="1153"/>
      <c r="AR23" s="1153"/>
      <c r="AS23" s="1153"/>
      <c r="AT23" s="594" t="s">
        <v>15</v>
      </c>
      <c r="AU23" s="459"/>
      <c r="AV23" s="459"/>
      <c r="AW23" s="459"/>
      <c r="AX23" s="257"/>
      <c r="AY23" s="595"/>
      <c r="AZ23" s="595" t="s">
        <v>238</v>
      </c>
      <c r="BA23" s="459"/>
      <c r="BB23" s="257"/>
      <c r="BC23" s="459"/>
      <c r="BD23" s="596"/>
    </row>
    <row r="24" spans="1:56" ht="27.95" customHeight="1" thickBot="1">
      <c r="A24" s="1154" t="s">
        <v>239</v>
      </c>
      <c r="B24" s="1154"/>
      <c r="C24" s="230">
        <f>SUM(C25:C26)</f>
        <v>10</v>
      </c>
      <c r="D24" s="230">
        <f>SUM(D25:D26)</f>
        <v>99</v>
      </c>
      <c r="E24" s="230">
        <f>SUM(E25:E26)</f>
        <v>591</v>
      </c>
      <c r="F24" s="230">
        <f>SUM(F25:F26)</f>
        <v>721</v>
      </c>
      <c r="G24" s="231">
        <f t="shared" ref="G24:AK24" si="19">G25+G26</f>
        <v>721</v>
      </c>
      <c r="H24" s="382">
        <f t="shared" si="19"/>
        <v>721</v>
      </c>
      <c r="I24" s="384">
        <f t="shared" si="19"/>
        <v>1164</v>
      </c>
      <c r="J24" s="384">
        <f t="shared" si="19"/>
        <v>1662</v>
      </c>
      <c r="K24" s="384">
        <f t="shared" si="19"/>
        <v>2061</v>
      </c>
      <c r="L24" s="231">
        <f t="shared" si="19"/>
        <v>2061</v>
      </c>
      <c r="M24" s="384">
        <f t="shared" si="19"/>
        <v>2309</v>
      </c>
      <c r="N24" s="384">
        <f t="shared" si="19"/>
        <v>1784</v>
      </c>
      <c r="O24" s="384">
        <f t="shared" si="19"/>
        <v>1039</v>
      </c>
      <c r="P24" s="231">
        <f t="shared" si="19"/>
        <v>1039</v>
      </c>
      <c r="Q24" s="232">
        <f t="shared" si="19"/>
        <v>1039</v>
      </c>
      <c r="R24" s="384">
        <f t="shared" si="19"/>
        <v>1134</v>
      </c>
      <c r="S24" s="384">
        <f t="shared" si="19"/>
        <v>1581</v>
      </c>
      <c r="T24" s="384">
        <f t="shared" si="19"/>
        <v>1378</v>
      </c>
      <c r="U24" s="231">
        <f t="shared" si="19"/>
        <v>1378</v>
      </c>
      <c r="V24" s="232">
        <f t="shared" si="19"/>
        <v>1378</v>
      </c>
      <c r="W24" s="384">
        <f t="shared" si="19"/>
        <v>1202</v>
      </c>
      <c r="X24" s="384">
        <f t="shared" si="19"/>
        <v>1642</v>
      </c>
      <c r="Y24" s="384">
        <f t="shared" si="19"/>
        <v>1947</v>
      </c>
      <c r="Z24" s="231">
        <f t="shared" si="19"/>
        <v>1947</v>
      </c>
      <c r="AA24" s="382">
        <f t="shared" si="19"/>
        <v>1947</v>
      </c>
      <c r="AB24" s="384">
        <f t="shared" si="19"/>
        <v>2339</v>
      </c>
      <c r="AC24" s="384">
        <f t="shared" si="19"/>
        <v>1931</v>
      </c>
      <c r="AD24" s="384">
        <f t="shared" si="19"/>
        <v>2550</v>
      </c>
      <c r="AE24" s="231">
        <f t="shared" si="19"/>
        <v>2550</v>
      </c>
      <c r="AF24" s="384">
        <f t="shared" si="19"/>
        <v>2848</v>
      </c>
      <c r="AG24" s="384">
        <f t="shared" si="19"/>
        <v>3546</v>
      </c>
      <c r="AH24" s="384">
        <f t="shared" si="19"/>
        <v>3026</v>
      </c>
      <c r="AI24" s="231">
        <f t="shared" si="19"/>
        <v>3026</v>
      </c>
      <c r="AJ24" s="232">
        <f t="shared" si="19"/>
        <v>3026</v>
      </c>
      <c r="AK24" s="384">
        <f t="shared" si="19"/>
        <v>3185</v>
      </c>
      <c r="AL24" s="384">
        <f>SUM(AL25:AL26)</f>
        <v>3124</v>
      </c>
      <c r="AM24" s="384">
        <f t="shared" ref="AM24:AZ24" si="20">AM25+AM26</f>
        <v>1590</v>
      </c>
      <c r="AN24" s="231">
        <f t="shared" si="20"/>
        <v>1590</v>
      </c>
      <c r="AO24" s="232">
        <f t="shared" si="20"/>
        <v>1590</v>
      </c>
      <c r="AP24" s="384">
        <f t="shared" si="20"/>
        <v>1390</v>
      </c>
      <c r="AQ24" s="384">
        <f t="shared" si="20"/>
        <v>1909</v>
      </c>
      <c r="AR24" s="384">
        <f t="shared" si="20"/>
        <v>2062</v>
      </c>
      <c r="AS24" s="231">
        <f t="shared" si="20"/>
        <v>2062</v>
      </c>
      <c r="AT24" s="382">
        <f t="shared" si="20"/>
        <v>2062</v>
      </c>
      <c r="AU24" s="384">
        <f t="shared" si="20"/>
        <v>2209</v>
      </c>
      <c r="AV24" s="384">
        <f t="shared" si="20"/>
        <v>2007</v>
      </c>
      <c r="AW24" s="384">
        <f t="shared" si="20"/>
        <v>1505</v>
      </c>
      <c r="AX24" s="383">
        <f>SUM(AX25:AX26)</f>
        <v>1505</v>
      </c>
      <c r="AY24" s="384">
        <f t="shared" si="20"/>
        <v>1545</v>
      </c>
      <c r="AZ24" s="384">
        <f t="shared" si="20"/>
        <v>1591</v>
      </c>
      <c r="BA24" s="384">
        <f>BA25+BA26</f>
        <v>1503</v>
      </c>
      <c r="BB24" s="383">
        <f>SUM(BB25:BB26)</f>
        <v>1503</v>
      </c>
      <c r="BC24" s="382">
        <f>SUM(BC25:BC26)</f>
        <v>1503</v>
      </c>
      <c r="BD24" s="258">
        <f>BD25+BD26</f>
        <v>1503</v>
      </c>
    </row>
    <row r="25" spans="1:56" ht="31.5" customHeight="1">
      <c r="A25" s="375"/>
      <c r="B25" s="381" t="s">
        <v>219</v>
      </c>
      <c r="C25" s="233">
        <f>C3+C7-C10</f>
        <v>9</v>
      </c>
      <c r="D25" s="233">
        <f>D3+D7-D10</f>
        <v>93</v>
      </c>
      <c r="E25" s="233">
        <f>E3+E7-E10</f>
        <v>513</v>
      </c>
      <c r="F25" s="233">
        <f>F3+F7-F10</f>
        <v>717</v>
      </c>
      <c r="G25" s="234">
        <f>(G3+G7)-G10</f>
        <v>717</v>
      </c>
      <c r="H25" s="378">
        <f>(H3+H7)-H10</f>
        <v>717</v>
      </c>
      <c r="I25" s="380">
        <f>I3+I7-I10</f>
        <v>1058</v>
      </c>
      <c r="J25" s="380">
        <f>J3+J7-J10</f>
        <v>1614</v>
      </c>
      <c r="K25" s="380">
        <f>K3+K7-K10</f>
        <v>1988</v>
      </c>
      <c r="L25" s="234">
        <f>(L3+L7)-L10</f>
        <v>1988</v>
      </c>
      <c r="M25" s="380">
        <f t="shared" ref="M25:Z25" si="21">M3+M7-M10</f>
        <v>2216</v>
      </c>
      <c r="N25" s="380">
        <f t="shared" si="21"/>
        <v>1654</v>
      </c>
      <c r="O25" s="380">
        <f t="shared" si="21"/>
        <v>910</v>
      </c>
      <c r="P25" s="234">
        <f t="shared" si="21"/>
        <v>910</v>
      </c>
      <c r="Q25" s="238">
        <f t="shared" si="21"/>
        <v>910</v>
      </c>
      <c r="R25" s="380">
        <f t="shared" si="21"/>
        <v>999</v>
      </c>
      <c r="S25" s="380">
        <f t="shared" si="21"/>
        <v>1473</v>
      </c>
      <c r="T25" s="380">
        <f t="shared" si="21"/>
        <v>1256</v>
      </c>
      <c r="U25" s="234">
        <f t="shared" si="21"/>
        <v>1256</v>
      </c>
      <c r="V25" s="238">
        <f t="shared" si="21"/>
        <v>1256</v>
      </c>
      <c r="W25" s="380">
        <f t="shared" si="21"/>
        <v>1098</v>
      </c>
      <c r="X25" s="380">
        <f t="shared" si="21"/>
        <v>1468</v>
      </c>
      <c r="Y25" s="380">
        <f t="shared" si="21"/>
        <v>1789</v>
      </c>
      <c r="Z25" s="234">
        <f t="shared" si="21"/>
        <v>1789</v>
      </c>
      <c r="AA25" s="378">
        <f>(AA3+AA7)-AA10</f>
        <v>1789</v>
      </c>
      <c r="AB25" s="380">
        <f t="shared" ref="AB25:AS25" si="22">AB3+AB7-AB10</f>
        <v>1958</v>
      </c>
      <c r="AC25" s="380">
        <f t="shared" si="22"/>
        <v>1711</v>
      </c>
      <c r="AD25" s="380">
        <f t="shared" si="22"/>
        <v>2301</v>
      </c>
      <c r="AE25" s="234">
        <f t="shared" si="22"/>
        <v>2301</v>
      </c>
      <c r="AF25" s="380">
        <f t="shared" si="22"/>
        <v>2635</v>
      </c>
      <c r="AG25" s="380">
        <f t="shared" si="22"/>
        <v>3297</v>
      </c>
      <c r="AH25" s="380">
        <f t="shared" si="22"/>
        <v>2760</v>
      </c>
      <c r="AI25" s="234">
        <f t="shared" si="22"/>
        <v>2760</v>
      </c>
      <c r="AJ25" s="238">
        <f t="shared" si="22"/>
        <v>2760</v>
      </c>
      <c r="AK25" s="380">
        <f t="shared" si="22"/>
        <v>2907</v>
      </c>
      <c r="AL25" s="380">
        <f t="shared" si="22"/>
        <v>2907</v>
      </c>
      <c r="AM25" s="380">
        <f t="shared" si="22"/>
        <v>1364</v>
      </c>
      <c r="AN25" s="234">
        <f t="shared" si="22"/>
        <v>1364</v>
      </c>
      <c r="AO25" s="238">
        <f t="shared" si="22"/>
        <v>1364</v>
      </c>
      <c r="AP25" s="380">
        <f t="shared" si="22"/>
        <v>1185</v>
      </c>
      <c r="AQ25" s="380">
        <f t="shared" si="22"/>
        <v>1625</v>
      </c>
      <c r="AR25" s="380">
        <f t="shared" si="22"/>
        <v>1803</v>
      </c>
      <c r="AS25" s="234">
        <f t="shared" si="22"/>
        <v>1803</v>
      </c>
      <c r="AT25" s="378">
        <f>(AT3+AT7)-AT10</f>
        <v>1803</v>
      </c>
      <c r="AU25" s="380">
        <f t="shared" ref="AU25:AZ25" si="23">AU3+AU7-AU10</f>
        <v>1936</v>
      </c>
      <c r="AV25" s="380">
        <f t="shared" si="23"/>
        <v>1766</v>
      </c>
      <c r="AW25" s="380">
        <f t="shared" si="23"/>
        <v>1230</v>
      </c>
      <c r="AX25" s="379">
        <f t="shared" si="23"/>
        <v>1230</v>
      </c>
      <c r="AY25" s="380">
        <f t="shared" si="23"/>
        <v>1252</v>
      </c>
      <c r="AZ25" s="380">
        <f t="shared" si="23"/>
        <v>1283</v>
      </c>
      <c r="BA25" s="380">
        <f>BA3+BA7-BA10</f>
        <v>1192</v>
      </c>
      <c r="BB25" s="379">
        <f>BB3+BB7-BB10</f>
        <v>1192</v>
      </c>
      <c r="BC25" s="378">
        <f>BC3+BC7-BC10</f>
        <v>1192</v>
      </c>
      <c r="BD25" s="377">
        <f>BD3+BD7-BD10</f>
        <v>1192</v>
      </c>
    </row>
    <row r="26" spans="1:56" ht="27.95" customHeight="1" thickBot="1">
      <c r="A26" s="365"/>
      <c r="B26" s="715" t="s">
        <v>220</v>
      </c>
      <c r="C26" s="716">
        <f>C4+C8-C19</f>
        <v>1</v>
      </c>
      <c r="D26" s="716">
        <f>D4+D8-D19</f>
        <v>6</v>
      </c>
      <c r="E26" s="716">
        <f>E4+E8-E19</f>
        <v>78</v>
      </c>
      <c r="F26" s="716">
        <f>F4+F8-F19</f>
        <v>4</v>
      </c>
      <c r="G26" s="717">
        <f>(G4+G8)-G19</f>
        <v>4</v>
      </c>
      <c r="H26" s="746">
        <f>(H4+H8)-H19</f>
        <v>4</v>
      </c>
      <c r="I26" s="721">
        <f>I4+I8-I19</f>
        <v>106</v>
      </c>
      <c r="J26" s="721">
        <f>J4+J8-J19</f>
        <v>48</v>
      </c>
      <c r="K26" s="721">
        <f>K4+K8-K19</f>
        <v>73</v>
      </c>
      <c r="L26" s="717">
        <f>(L4+L8)-L19</f>
        <v>73</v>
      </c>
      <c r="M26" s="721">
        <f>M4+M8-M19</f>
        <v>93</v>
      </c>
      <c r="N26" s="721">
        <f>N4+N8-N19</f>
        <v>130</v>
      </c>
      <c r="O26" s="721">
        <f>O4+O8-O19</f>
        <v>129</v>
      </c>
      <c r="P26" s="717">
        <f>(P4+P8)-P19</f>
        <v>129</v>
      </c>
      <c r="Q26" s="747">
        <f>(Q4+Q8)-Q19</f>
        <v>129</v>
      </c>
      <c r="R26" s="721">
        <f>R4+R8-R19</f>
        <v>135</v>
      </c>
      <c r="S26" s="721">
        <f>S4+S8-S19</f>
        <v>108</v>
      </c>
      <c r="T26" s="721">
        <f>T4+T8-T19</f>
        <v>122</v>
      </c>
      <c r="U26" s="717">
        <f>(U4+U8)-U19</f>
        <v>122</v>
      </c>
      <c r="V26" s="747">
        <f>(V4+V8)-V19</f>
        <v>122</v>
      </c>
      <c r="W26" s="721">
        <f>W4+W8-W19</f>
        <v>104</v>
      </c>
      <c r="X26" s="721">
        <f>X4+X8-X19</f>
        <v>174</v>
      </c>
      <c r="Y26" s="721">
        <f>Y4+Y8-Y19</f>
        <v>158</v>
      </c>
      <c r="Z26" s="717">
        <f>(Z4+Z8)-Z19</f>
        <v>158</v>
      </c>
      <c r="AA26" s="746">
        <f>(AA4+AA8)-AA19</f>
        <v>158</v>
      </c>
      <c r="AB26" s="721">
        <f>AB4+AB8-AB19</f>
        <v>381</v>
      </c>
      <c r="AC26" s="721">
        <f>AC4+AC8-AC19</f>
        <v>220</v>
      </c>
      <c r="AD26" s="721">
        <f>AD4+AD8-AD19</f>
        <v>249</v>
      </c>
      <c r="AE26" s="717">
        <f>(AE4+AE8)-AE19</f>
        <v>249</v>
      </c>
      <c r="AF26" s="721">
        <f>AF4+AF8-AF19</f>
        <v>213</v>
      </c>
      <c r="AG26" s="721">
        <f>AG4+AG8-AG19</f>
        <v>249</v>
      </c>
      <c r="AH26" s="721">
        <f>AH4+AH8-AH19</f>
        <v>266</v>
      </c>
      <c r="AI26" s="717">
        <f>(AI4+AI8)-AI19</f>
        <v>266</v>
      </c>
      <c r="AJ26" s="747">
        <f>(AJ4+AJ8)-AJ19</f>
        <v>266</v>
      </c>
      <c r="AK26" s="721">
        <f>AK4+AK8-AK19</f>
        <v>278</v>
      </c>
      <c r="AL26" s="721">
        <f>AL4+AL8-AL19</f>
        <v>217</v>
      </c>
      <c r="AM26" s="721">
        <f>AM4+AM8-AM19</f>
        <v>226</v>
      </c>
      <c r="AN26" s="717">
        <f>(AN4+AN8)-AN19</f>
        <v>226</v>
      </c>
      <c r="AO26" s="747">
        <f>(AO4+AO8)-AO19</f>
        <v>226</v>
      </c>
      <c r="AP26" s="721">
        <f>AP4+AP8-AP19</f>
        <v>205</v>
      </c>
      <c r="AQ26" s="721">
        <f>AQ4+AQ8-AQ19</f>
        <v>284</v>
      </c>
      <c r="AR26" s="721">
        <f>AR4+AR8-AR19</f>
        <v>259</v>
      </c>
      <c r="AS26" s="717">
        <f>(AS4+AS8)-AS19</f>
        <v>259</v>
      </c>
      <c r="AT26" s="376">
        <f>(AT4+AT8)-AT19</f>
        <v>259</v>
      </c>
      <c r="AU26" s="721">
        <f t="shared" ref="AU26:AZ26" si="24">AU4+AU8-AU19</f>
        <v>273</v>
      </c>
      <c r="AV26" s="721">
        <f t="shared" si="24"/>
        <v>241</v>
      </c>
      <c r="AW26" s="721">
        <f t="shared" si="24"/>
        <v>275</v>
      </c>
      <c r="AX26" s="726">
        <f t="shared" si="24"/>
        <v>275</v>
      </c>
      <c r="AY26" s="721">
        <f t="shared" si="24"/>
        <v>293</v>
      </c>
      <c r="AZ26" s="721">
        <f t="shared" si="24"/>
        <v>308</v>
      </c>
      <c r="BA26" s="721">
        <f>BA4+BA8-BA19</f>
        <v>311</v>
      </c>
      <c r="BB26" s="726">
        <f>BB4+BB8-BB19</f>
        <v>311</v>
      </c>
      <c r="BC26" s="376">
        <f>BC4+BC8-BC19</f>
        <v>311</v>
      </c>
      <c r="BD26" s="749">
        <f>(BD4+BD8)-BD19</f>
        <v>311</v>
      </c>
    </row>
    <row r="27" spans="1:56" s="457" customFormat="1" ht="18.75" customHeight="1" thickBot="1">
      <c r="A27" s="462"/>
      <c r="B27" s="461"/>
      <c r="C27" s="460"/>
      <c r="D27" s="460"/>
      <c r="E27" s="460"/>
      <c r="F27" s="460"/>
      <c r="G27" s="235"/>
      <c r="H27" s="459"/>
      <c r="I27" s="459"/>
      <c r="J27" s="459"/>
      <c r="K27" s="459"/>
      <c r="L27" s="235"/>
      <c r="M27" s="459"/>
      <c r="N27" s="459"/>
      <c r="O27" s="459"/>
      <c r="P27" s="235"/>
      <c r="Q27" s="235"/>
      <c r="R27" s="459"/>
      <c r="S27" s="459"/>
      <c r="T27" s="459"/>
      <c r="U27" s="235"/>
      <c r="V27" s="235"/>
      <c r="W27" s="459"/>
      <c r="X27" s="459"/>
      <c r="Y27" s="459"/>
      <c r="Z27" s="235"/>
      <c r="AA27" s="459"/>
      <c r="AB27" s="459"/>
      <c r="AC27" s="459"/>
      <c r="AD27" s="459"/>
      <c r="AE27" s="235"/>
      <c r="AF27" s="459"/>
      <c r="AG27" s="459"/>
      <c r="AH27" s="459"/>
      <c r="AI27" s="235"/>
      <c r="AJ27" s="235"/>
      <c r="AK27" s="459"/>
      <c r="AL27" s="459"/>
      <c r="AM27" s="459"/>
      <c r="AN27" s="235"/>
      <c r="AO27" s="235"/>
      <c r="AP27" s="459"/>
      <c r="AQ27" s="459"/>
      <c r="AR27" s="459"/>
      <c r="AS27" s="235"/>
      <c r="AT27" s="459"/>
      <c r="AU27" s="459"/>
      <c r="AV27" s="459"/>
      <c r="AW27" s="459"/>
      <c r="AX27" s="235"/>
      <c r="AY27" s="459"/>
      <c r="AZ27" s="459"/>
      <c r="BA27" s="459"/>
      <c r="BB27" s="235"/>
      <c r="BC27" s="459"/>
      <c r="BD27" s="596"/>
    </row>
    <row r="28" spans="1:56" s="366" customFormat="1" ht="54" customHeight="1">
      <c r="A28" s="375"/>
      <c r="B28" s="374" t="s">
        <v>240</v>
      </c>
      <c r="C28" s="373">
        <f t="shared" ref="C28:AK28" si="25">(C11+C12)/C10</f>
        <v>1</v>
      </c>
      <c r="D28" s="373">
        <f t="shared" si="25"/>
        <v>1</v>
      </c>
      <c r="E28" s="373">
        <f t="shared" si="25"/>
        <v>1</v>
      </c>
      <c r="F28" s="373">
        <f t="shared" si="25"/>
        <v>1</v>
      </c>
      <c r="G28" s="372">
        <f t="shared" si="25"/>
        <v>1</v>
      </c>
      <c r="H28" s="371">
        <f t="shared" si="25"/>
        <v>1</v>
      </c>
      <c r="I28" s="597">
        <f t="shared" si="25"/>
        <v>0.96603773584905661</v>
      </c>
      <c r="J28" s="597">
        <f t="shared" si="25"/>
        <v>0.82889733840304181</v>
      </c>
      <c r="K28" s="597">
        <f t="shared" si="25"/>
        <v>0.71509971509971515</v>
      </c>
      <c r="L28" s="372">
        <f t="shared" si="25"/>
        <v>0.82480091012514223</v>
      </c>
      <c r="M28" s="598">
        <f t="shared" si="25"/>
        <v>0.60231660231660233</v>
      </c>
      <c r="N28" s="598">
        <f t="shared" si="25"/>
        <v>0.34372680029695618</v>
      </c>
      <c r="O28" s="598">
        <f t="shared" si="25"/>
        <v>0.39812138728323698</v>
      </c>
      <c r="P28" s="372">
        <f t="shared" si="25"/>
        <v>0.40812557710064634</v>
      </c>
      <c r="Q28" s="371">
        <f t="shared" si="25"/>
        <v>0.49685077519379844</v>
      </c>
      <c r="R28" s="597">
        <f t="shared" si="25"/>
        <v>0.50852713178294573</v>
      </c>
      <c r="S28" s="597">
        <f t="shared" si="25"/>
        <v>1</v>
      </c>
      <c r="T28" s="597">
        <f t="shared" si="25"/>
        <v>0.64713541666666663</v>
      </c>
      <c r="U28" s="372">
        <f t="shared" si="25"/>
        <v>0.63295880149812733</v>
      </c>
      <c r="V28" s="371">
        <f t="shared" si="25"/>
        <v>0.53490401396160558</v>
      </c>
      <c r="W28" s="597">
        <f t="shared" si="25"/>
        <v>0.4994547437295529</v>
      </c>
      <c r="X28" s="597">
        <f t="shared" si="25"/>
        <v>0.56528189910979232</v>
      </c>
      <c r="Y28" s="597">
        <f t="shared" si="25"/>
        <v>0.81213307240704502</v>
      </c>
      <c r="Z28" s="372">
        <f t="shared" si="25"/>
        <v>0.59657469077069458</v>
      </c>
      <c r="AA28" s="371">
        <f t="shared" si="25"/>
        <v>0.55145556690500508</v>
      </c>
      <c r="AB28" s="597">
        <f t="shared" si="25"/>
        <v>0.45</v>
      </c>
      <c r="AC28" s="597">
        <f t="shared" si="25"/>
        <v>0.49200913242009131</v>
      </c>
      <c r="AD28" s="597">
        <f t="shared" si="25"/>
        <v>0.62799495586380827</v>
      </c>
      <c r="AE28" s="372">
        <f t="shared" si="25"/>
        <v>0.52036378015025697</v>
      </c>
      <c r="AF28" s="597">
        <f t="shared" si="25"/>
        <v>0.51511758118701012</v>
      </c>
      <c r="AG28" s="597">
        <f t="shared" si="25"/>
        <v>0.5487674169346195</v>
      </c>
      <c r="AH28" s="597">
        <f t="shared" si="25"/>
        <v>0.66400797607178463</v>
      </c>
      <c r="AI28" s="372">
        <f t="shared" si="25"/>
        <v>0.57900318133616113</v>
      </c>
      <c r="AJ28" s="371">
        <f t="shared" si="25"/>
        <v>0.55132512131392308</v>
      </c>
      <c r="AK28" s="597">
        <f t="shared" si="25"/>
        <v>0.64326375711574957</v>
      </c>
      <c r="AL28" s="597">
        <f t="shared" ref="AL28:AS28" si="26">(AL11+AL12+AL17)/AL10</f>
        <v>1</v>
      </c>
      <c r="AM28" s="597">
        <f t="shared" si="26"/>
        <v>0.44268077601410932</v>
      </c>
      <c r="AN28" s="372">
        <f t="shared" si="26"/>
        <v>0.53877385302476655</v>
      </c>
      <c r="AO28" s="371">
        <f t="shared" si="26"/>
        <v>0.54737245876486385</v>
      </c>
      <c r="AP28" s="370">
        <f t="shared" si="26"/>
        <v>0.6912751677852349</v>
      </c>
      <c r="AQ28" s="370">
        <f t="shared" si="26"/>
        <v>0.66775777414075288</v>
      </c>
      <c r="AR28" s="370">
        <f t="shared" si="26"/>
        <v>0.58030303030303032</v>
      </c>
      <c r="AS28" s="372">
        <f t="shared" si="26"/>
        <v>0.64434922335297273</v>
      </c>
      <c r="AT28" s="371">
        <f>(AT11+AT12+AT15)/AT10</f>
        <v>0.56606110652353425</v>
      </c>
      <c r="AU28" s="370">
        <f>SUM(AU11:AU13)/AU10</f>
        <v>0.53182751540041073</v>
      </c>
      <c r="AV28" s="370">
        <f>SUM(AV11:AV13)/AV10</f>
        <v>0.68992248062015504</v>
      </c>
      <c r="AW28" s="370">
        <f>SUM(AW11:AW13)/AW10</f>
        <v>0.61379310344827587</v>
      </c>
      <c r="AX28" s="369">
        <f t="shared" ref="AX28:BC28" si="27">SUM(AX11:AX13)/AX10</f>
        <v>0.61807172799254773</v>
      </c>
      <c r="AY28" s="370">
        <f t="shared" si="27"/>
        <v>0.64157706093189959</v>
      </c>
      <c r="AZ28" s="370">
        <f t="shared" si="27"/>
        <v>0.78545454545454541</v>
      </c>
      <c r="BA28" s="370">
        <f>SUM(BA11:BA13)/BA10</f>
        <v>0.93894736842105264</v>
      </c>
      <c r="BB28" s="369">
        <f t="shared" si="27"/>
        <v>0.78079595704358817</v>
      </c>
      <c r="BC28" s="368">
        <f t="shared" si="27"/>
        <v>0.68713136729222524</v>
      </c>
      <c r="BD28" s="367">
        <f>(BD11+BD12+BD13+BD17)/BD10</f>
        <v>0.58700199897726746</v>
      </c>
    </row>
    <row r="29" spans="1:56" ht="54" customHeight="1">
      <c r="A29" s="365"/>
      <c r="B29" s="750" t="s">
        <v>241</v>
      </c>
      <c r="C29" s="751">
        <f t="shared" ref="C29:AT29" si="28">C11/(C11+C12)</f>
        <v>0</v>
      </c>
      <c r="D29" s="751">
        <f t="shared" si="28"/>
        <v>4.7619047619047616E-2</v>
      </c>
      <c r="E29" s="751">
        <f t="shared" si="28"/>
        <v>0.21428571428571427</v>
      </c>
      <c r="F29" s="751">
        <f t="shared" si="28"/>
        <v>6.8027210884353748E-2</v>
      </c>
      <c r="G29" s="752">
        <f t="shared" si="28"/>
        <v>0.10424710424710425</v>
      </c>
      <c r="H29" s="753">
        <f>H11/(H11+H12)</f>
        <v>0.10344827586206896</v>
      </c>
      <c r="I29" s="754">
        <f t="shared" si="28"/>
        <v>9.765625E-2</v>
      </c>
      <c r="J29" s="754">
        <f t="shared" si="28"/>
        <v>0.12385321100917432</v>
      </c>
      <c r="K29" s="754">
        <f t="shared" si="28"/>
        <v>0.24701195219123506</v>
      </c>
      <c r="L29" s="752">
        <f t="shared" si="28"/>
        <v>0.15724137931034482</v>
      </c>
      <c r="M29" s="754">
        <f t="shared" si="28"/>
        <v>0.21153846153846154</v>
      </c>
      <c r="N29" s="754">
        <f t="shared" si="28"/>
        <v>0.31749460043196542</v>
      </c>
      <c r="O29" s="754">
        <f t="shared" si="28"/>
        <v>0.36297640653357532</v>
      </c>
      <c r="P29" s="752">
        <f t="shared" si="28"/>
        <v>0.31146304675716441</v>
      </c>
      <c r="Q29" s="753">
        <f t="shared" si="28"/>
        <v>0.2569478303266699</v>
      </c>
      <c r="R29" s="754">
        <f t="shared" si="28"/>
        <v>0.28048780487804881</v>
      </c>
      <c r="S29" s="754">
        <f t="shared" si="28"/>
        <v>0.40740740740740738</v>
      </c>
      <c r="T29" s="754">
        <f t="shared" si="28"/>
        <v>0.24748490945674045</v>
      </c>
      <c r="U29" s="752">
        <f t="shared" si="28"/>
        <v>0.28796844181459569</v>
      </c>
      <c r="V29" s="753">
        <f t="shared" si="28"/>
        <v>0.26721044045677</v>
      </c>
      <c r="W29" s="754">
        <f t="shared" si="28"/>
        <v>0.33624454148471616</v>
      </c>
      <c r="X29" s="754">
        <f t="shared" si="28"/>
        <v>0.4225721784776903</v>
      </c>
      <c r="Y29" s="754">
        <f t="shared" si="28"/>
        <v>0.51084337349397591</v>
      </c>
      <c r="Z29" s="752">
        <f t="shared" si="28"/>
        <v>0.42025518341307816</v>
      </c>
      <c r="AA29" s="753">
        <f t="shared" si="28"/>
        <v>0.31164621440148182</v>
      </c>
      <c r="AB29" s="754">
        <f t="shared" si="28"/>
        <v>0.26098191214470284</v>
      </c>
      <c r="AC29" s="754">
        <f t="shared" si="28"/>
        <v>0.1554524361948956</v>
      </c>
      <c r="AD29" s="754">
        <f t="shared" si="28"/>
        <v>8.8353413654618476E-2</v>
      </c>
      <c r="AE29" s="752">
        <f t="shared" si="28"/>
        <v>0.16109422492401215</v>
      </c>
      <c r="AF29" s="754">
        <f t="shared" si="28"/>
        <v>0.10869565217391304</v>
      </c>
      <c r="AG29" s="754">
        <f t="shared" si="28"/>
        <v>6.0546875E-2</v>
      </c>
      <c r="AH29" s="754">
        <f t="shared" si="28"/>
        <v>4.8048048048048048E-2</v>
      </c>
      <c r="AI29" s="752">
        <f t="shared" si="28"/>
        <v>6.8986568986568991E-2</v>
      </c>
      <c r="AJ29" s="753">
        <f t="shared" si="28"/>
        <v>0.11002031144211238</v>
      </c>
      <c r="AK29" s="754">
        <f t="shared" si="28"/>
        <v>2.9498525073746312E-2</v>
      </c>
      <c r="AL29" s="754">
        <f t="shared" si="28"/>
        <v>0.23255813953488372</v>
      </c>
      <c r="AM29" s="754">
        <f t="shared" si="28"/>
        <v>4.8231511254019289E-2</v>
      </c>
      <c r="AN29" s="752">
        <f t="shared" si="28"/>
        <v>4.9800796812749001E-2</v>
      </c>
      <c r="AO29" s="753">
        <f t="shared" si="28"/>
        <v>9.4744820616472963E-2</v>
      </c>
      <c r="AP29" s="754">
        <f t="shared" si="28"/>
        <v>7.8313253012048195E-2</v>
      </c>
      <c r="AQ29" s="754">
        <f t="shared" si="28"/>
        <v>8.9743589743589744E-2</v>
      </c>
      <c r="AR29" s="754">
        <f t="shared" si="28"/>
        <v>8.877284595300261E-2</v>
      </c>
      <c r="AS29" s="752">
        <f t="shared" si="28"/>
        <v>8.5972850678733032E-2</v>
      </c>
      <c r="AT29" s="753">
        <f t="shared" si="28"/>
        <v>9.2830337744420302E-2</v>
      </c>
      <c r="AU29" s="754">
        <f t="shared" ref="AU29:AZ29" si="29">(AU11+AU13)/(AU11+AU12+AU13)</f>
        <v>0.11583011583011583</v>
      </c>
      <c r="AV29" s="754">
        <f t="shared" si="29"/>
        <v>9.662921348314607E-2</v>
      </c>
      <c r="AW29" s="754">
        <f t="shared" si="29"/>
        <v>4.8154093097913325E-2</v>
      </c>
      <c r="AX29" s="755">
        <f t="shared" si="29"/>
        <v>7.7618688771665417E-2</v>
      </c>
      <c r="AY29" s="754">
        <f t="shared" si="29"/>
        <v>0.11731843575418995</v>
      </c>
      <c r="AZ29" s="754">
        <f t="shared" si="29"/>
        <v>0.24768518518518517</v>
      </c>
      <c r="BA29" s="754">
        <f>(BA11+BA13)/(BA11+BA12+BA13)</f>
        <v>0.25784753363228702</v>
      </c>
      <c r="BB29" s="755">
        <f>(BB11+BB13)/(BB11+BB12+BB13)</f>
        <v>0.21359223300970873</v>
      </c>
      <c r="BC29" s="753">
        <f>(BC11+BC13)/(BC11+BC12+BC13)</f>
        <v>0.14319157237612173</v>
      </c>
      <c r="BD29" s="756">
        <f>(BD11+BD13)/(BD11+BD12+BD13)</f>
        <v>0.18105849582172701</v>
      </c>
    </row>
    <row r="30" spans="1:56" ht="54" customHeight="1">
      <c r="A30" s="365"/>
      <c r="B30" s="757" t="s">
        <v>242</v>
      </c>
      <c r="C30" s="758">
        <f>C11/C10</f>
        <v>0</v>
      </c>
      <c r="D30" s="758">
        <f>D11/D10</f>
        <v>4.7619047619047616E-2</v>
      </c>
      <c r="E30" s="758">
        <f t="shared" ref="E30:AT30" si="30">E11/E10</f>
        <v>0.21428571428571427</v>
      </c>
      <c r="F30" s="758">
        <f t="shared" si="30"/>
        <v>6.8027210884353748E-2</v>
      </c>
      <c r="G30" s="759">
        <f t="shared" si="30"/>
        <v>0.10424710424710425</v>
      </c>
      <c r="H30" s="760">
        <f t="shared" si="30"/>
        <v>0.10344827586206896</v>
      </c>
      <c r="I30" s="761">
        <f t="shared" si="30"/>
        <v>9.4339622641509441E-2</v>
      </c>
      <c r="J30" s="761">
        <f t="shared" si="30"/>
        <v>0.10266159695817491</v>
      </c>
      <c r="K30" s="761">
        <f t="shared" si="30"/>
        <v>0.17663817663817663</v>
      </c>
      <c r="L30" s="759">
        <f t="shared" si="30"/>
        <v>0.12969283276450511</v>
      </c>
      <c r="M30" s="761">
        <f t="shared" si="30"/>
        <v>0.12741312741312741</v>
      </c>
      <c r="N30" s="761">
        <f t="shared" si="30"/>
        <v>0.10913140311804009</v>
      </c>
      <c r="O30" s="761">
        <f t="shared" si="30"/>
        <v>0.14450867052023122</v>
      </c>
      <c r="P30" s="759">
        <f t="shared" si="30"/>
        <v>0.12711603570329333</v>
      </c>
      <c r="Q30" s="760">
        <f t="shared" si="30"/>
        <v>0.12766472868217055</v>
      </c>
      <c r="R30" s="761">
        <f t="shared" si="30"/>
        <v>0.14263565891472868</v>
      </c>
      <c r="S30" s="761">
        <f t="shared" si="30"/>
        <v>0.40740740740740738</v>
      </c>
      <c r="T30" s="761">
        <f t="shared" si="30"/>
        <v>0.16015625</v>
      </c>
      <c r="U30" s="759">
        <f t="shared" si="30"/>
        <v>0.18227215980024969</v>
      </c>
      <c r="V30" s="760">
        <f t="shared" si="30"/>
        <v>0.14293193717277486</v>
      </c>
      <c r="W30" s="761">
        <f t="shared" si="30"/>
        <v>0.16793893129770993</v>
      </c>
      <c r="X30" s="761">
        <f t="shared" si="30"/>
        <v>0.23887240356083086</v>
      </c>
      <c r="Y30" s="761">
        <f t="shared" si="30"/>
        <v>0.41487279843444225</v>
      </c>
      <c r="Z30" s="759">
        <f t="shared" si="30"/>
        <v>0.25071360608943866</v>
      </c>
      <c r="AA30" s="760">
        <f t="shared" si="30"/>
        <v>0.17185903983656792</v>
      </c>
      <c r="AB30" s="761">
        <f t="shared" si="30"/>
        <v>0.11744186046511627</v>
      </c>
      <c r="AC30" s="761">
        <f t="shared" si="30"/>
        <v>7.6484018264840178E-2</v>
      </c>
      <c r="AD30" s="761">
        <f t="shared" si="30"/>
        <v>5.5485498108448932E-2</v>
      </c>
      <c r="AE30" s="759">
        <f t="shared" si="30"/>
        <v>8.3827599841834716E-2</v>
      </c>
      <c r="AF30" s="761">
        <f t="shared" si="30"/>
        <v>5.5991041433370664E-2</v>
      </c>
      <c r="AG30" s="761">
        <f t="shared" si="30"/>
        <v>3.3226152197213289E-2</v>
      </c>
      <c r="AH30" s="761">
        <f t="shared" si="30"/>
        <v>3.1904287138584245E-2</v>
      </c>
      <c r="AI30" s="759">
        <f t="shared" si="30"/>
        <v>3.9943442912689996E-2</v>
      </c>
      <c r="AJ30" s="760">
        <f t="shared" si="30"/>
        <v>6.0656961552818217E-2</v>
      </c>
      <c r="AK30" s="761">
        <f t="shared" si="30"/>
        <v>1.8975332068311195E-2</v>
      </c>
      <c r="AL30" s="761">
        <f t="shared" si="30"/>
        <v>4.2553191489361701E-2</v>
      </c>
      <c r="AM30" s="761">
        <f t="shared" si="30"/>
        <v>1.7636684303350969E-2</v>
      </c>
      <c r="AN30" s="759">
        <f t="shared" si="30"/>
        <v>2.0300446609825416E-2</v>
      </c>
      <c r="AO30" s="760">
        <f t="shared" si="30"/>
        <v>4.7947832757959337E-2</v>
      </c>
      <c r="AP30" s="761">
        <f t="shared" si="30"/>
        <v>4.3624161073825503E-2</v>
      </c>
      <c r="AQ30" s="761">
        <f t="shared" si="30"/>
        <v>5.7283142389525366E-2</v>
      </c>
      <c r="AR30" s="761">
        <f t="shared" si="30"/>
        <v>5.1515151515151514E-2</v>
      </c>
      <c r="AS30" s="759">
        <f t="shared" si="30"/>
        <v>5.0883770755222282E-2</v>
      </c>
      <c r="AT30" s="760">
        <f t="shared" si="30"/>
        <v>4.8513625103220478E-2</v>
      </c>
      <c r="AU30" s="761">
        <f t="shared" ref="AU30:AZ30" si="31">(AU11+AU13)/AU10</f>
        <v>6.1601642710472276E-2</v>
      </c>
      <c r="AV30" s="761">
        <f t="shared" si="31"/>
        <v>6.6666666666666666E-2</v>
      </c>
      <c r="AW30" s="761">
        <f t="shared" si="31"/>
        <v>2.9556650246305417E-2</v>
      </c>
      <c r="AX30" s="762">
        <f t="shared" si="31"/>
        <v>4.7973917093619006E-2</v>
      </c>
      <c r="AY30" s="761">
        <f t="shared" si="31"/>
        <v>7.5268817204301078E-2</v>
      </c>
      <c r="AZ30" s="761">
        <f t="shared" si="31"/>
        <v>0.19454545454545455</v>
      </c>
      <c r="BA30" s="761">
        <f>(BA11+BA13)/BA10</f>
        <v>0.24210526315789474</v>
      </c>
      <c r="BB30" s="762">
        <f>(BB11+BB13)/BB10</f>
        <v>0.16677195198989261</v>
      </c>
      <c r="BC30" s="760">
        <f>(BC11+BC13)/BC10</f>
        <v>9.8391420911528152E-2</v>
      </c>
      <c r="BD30" s="763">
        <f>(BD11+BD13)/BD10</f>
        <v>0.10273813397796476</v>
      </c>
    </row>
    <row r="31" spans="1:56" ht="48" customHeight="1" thickBot="1">
      <c r="A31" s="364"/>
      <c r="B31" s="764" t="s">
        <v>243</v>
      </c>
      <c r="C31" s="765">
        <f t="shared" ref="C31:BC31" si="32">C20/(C20+C21)</f>
        <v>0.5</v>
      </c>
      <c r="D31" s="765">
        <f t="shared" si="32"/>
        <v>3.2258064516129031E-2</v>
      </c>
      <c r="E31" s="765">
        <f t="shared" si="32"/>
        <v>0</v>
      </c>
      <c r="F31" s="765">
        <f t="shared" si="32"/>
        <v>0.10191082802547771</v>
      </c>
      <c r="G31" s="766">
        <f t="shared" si="32"/>
        <v>6.3432835820895525E-2</v>
      </c>
      <c r="H31" s="767">
        <f t="shared" si="32"/>
        <v>6.6666666666666666E-2</v>
      </c>
      <c r="I31" s="768">
        <f t="shared" si="32"/>
        <v>0.21296296296296297</v>
      </c>
      <c r="J31" s="768">
        <f t="shared" si="32"/>
        <v>0.17499999999999999</v>
      </c>
      <c r="K31" s="768">
        <f t="shared" si="32"/>
        <v>0.22500000000000001</v>
      </c>
      <c r="L31" s="766">
        <f t="shared" si="32"/>
        <v>0.19776119402985073</v>
      </c>
      <c r="M31" s="768">
        <f t="shared" si="32"/>
        <v>0.15384615384615385</v>
      </c>
      <c r="N31" s="768">
        <f t="shared" si="32"/>
        <v>0</v>
      </c>
      <c r="O31" s="768">
        <f t="shared" si="32"/>
        <v>0.16666666666666666</v>
      </c>
      <c r="P31" s="766">
        <f t="shared" si="32"/>
        <v>9.0909090909090912E-2</v>
      </c>
      <c r="Q31" s="767">
        <f t="shared" si="32"/>
        <v>0.18269230769230768</v>
      </c>
      <c r="R31" s="768">
        <f t="shared" si="32"/>
        <v>0.17647058823529413</v>
      </c>
      <c r="S31" s="768">
        <f t="shared" si="32"/>
        <v>2.2988505747126436E-2</v>
      </c>
      <c r="T31" s="768">
        <f t="shared" si="32"/>
        <v>0</v>
      </c>
      <c r="U31" s="766">
        <f t="shared" si="32"/>
        <v>3.6231884057971016E-2</v>
      </c>
      <c r="V31" s="767">
        <f t="shared" si="32"/>
        <v>0.13777777777777778</v>
      </c>
      <c r="W31" s="768">
        <f t="shared" si="32"/>
        <v>0.2857142857142857</v>
      </c>
      <c r="X31" s="768">
        <f t="shared" si="32"/>
        <v>0</v>
      </c>
      <c r="Y31" s="768">
        <f t="shared" si="32"/>
        <v>0</v>
      </c>
      <c r="Z31" s="766">
        <f t="shared" si="32"/>
        <v>0.14285714285714285</v>
      </c>
      <c r="AA31" s="767">
        <f t="shared" si="32"/>
        <v>0.13846153846153847</v>
      </c>
      <c r="AB31" s="769" t="e">
        <f t="shared" si="32"/>
        <v>#DIV/0!</v>
      </c>
      <c r="AC31" s="768">
        <f t="shared" si="32"/>
        <v>0</v>
      </c>
      <c r="AD31" s="768">
        <f t="shared" si="32"/>
        <v>0.1111111111111111</v>
      </c>
      <c r="AE31" s="766">
        <f t="shared" si="32"/>
        <v>4.7619047619047616E-2</v>
      </c>
      <c r="AF31" s="770">
        <f t="shared" si="32"/>
        <v>0</v>
      </c>
      <c r="AG31" s="770">
        <f t="shared" si="32"/>
        <v>0</v>
      </c>
      <c r="AH31" s="770">
        <f t="shared" si="32"/>
        <v>0</v>
      </c>
      <c r="AI31" s="766">
        <f t="shared" si="32"/>
        <v>0</v>
      </c>
      <c r="AJ31" s="767">
        <f t="shared" si="32"/>
        <v>2.8985507246376812E-2</v>
      </c>
      <c r="AK31" s="768">
        <f t="shared" si="32"/>
        <v>3.2258064516129031E-2</v>
      </c>
      <c r="AL31" s="768">
        <f t="shared" si="32"/>
        <v>0</v>
      </c>
      <c r="AM31" s="768">
        <f t="shared" si="32"/>
        <v>0</v>
      </c>
      <c r="AN31" s="766">
        <f t="shared" si="32"/>
        <v>1.7241379310344827E-2</v>
      </c>
      <c r="AO31" s="767">
        <f t="shared" si="32"/>
        <v>2.3622047244094488E-2</v>
      </c>
      <c r="AP31" s="768">
        <f t="shared" si="32"/>
        <v>0.57777777777777772</v>
      </c>
      <c r="AQ31" s="768">
        <f t="shared" si="32"/>
        <v>0.2</v>
      </c>
      <c r="AR31" s="768">
        <f t="shared" si="32"/>
        <v>3.6363636363636362E-2</v>
      </c>
      <c r="AS31" s="766">
        <f t="shared" si="32"/>
        <v>0.26956521739130435</v>
      </c>
      <c r="AT31" s="767">
        <f t="shared" si="32"/>
        <v>0.14049586776859505</v>
      </c>
      <c r="AU31" s="771" t="e">
        <f t="shared" si="32"/>
        <v>#DIV/0!</v>
      </c>
      <c r="AV31" s="768">
        <f t="shared" si="32"/>
        <v>0.19047619047619047</v>
      </c>
      <c r="AW31" s="768">
        <f t="shared" si="32"/>
        <v>9.0909090909090912E-2</v>
      </c>
      <c r="AX31" s="772">
        <f t="shared" si="32"/>
        <v>0.15625</v>
      </c>
      <c r="AY31" s="773">
        <f>AY20/(AY20+AY21)</f>
        <v>4.3478260869565216E-2</v>
      </c>
      <c r="AZ31" s="773">
        <f>AZ20/(AZ20+AZ21)</f>
        <v>2.0408163265306121E-2</v>
      </c>
      <c r="BA31" s="773">
        <f>BA20/(BA20+BA21)</f>
        <v>0.20895522388059701</v>
      </c>
      <c r="BB31" s="772">
        <f>BB20/(BB20+BB21)</f>
        <v>0.10493827160493827</v>
      </c>
      <c r="BC31" s="767">
        <f t="shared" si="32"/>
        <v>0.1134020618556701</v>
      </c>
      <c r="BD31" s="774">
        <f>BD20/(BD20+BD21)</f>
        <v>0.11908646003262642</v>
      </c>
    </row>
    <row r="32" spans="1:56" s="547" customFormat="1" ht="21.75" customHeight="1" thickBot="1">
      <c r="A32" s="599"/>
      <c r="B32" s="600"/>
      <c r="C32" s="599"/>
      <c r="D32" s="599"/>
      <c r="E32" s="599"/>
      <c r="F32" s="599"/>
      <c r="G32" s="601"/>
      <c r="H32" s="546"/>
      <c r="I32" s="544"/>
      <c r="J32" s="544"/>
      <c r="K32" s="544"/>
      <c r="L32" s="546"/>
      <c r="M32" s="544"/>
      <c r="N32" s="544"/>
      <c r="O32" s="544"/>
      <c r="P32" s="546"/>
      <c r="Q32" s="546"/>
      <c r="R32" s="544"/>
      <c r="S32" s="544"/>
      <c r="T32" s="544"/>
      <c r="U32" s="546"/>
      <c r="V32" s="546"/>
      <c r="W32" s="544"/>
      <c r="X32" s="544"/>
      <c r="Y32" s="544"/>
      <c r="Z32" s="546"/>
      <c r="AA32" s="546"/>
      <c r="AB32" s="544"/>
      <c r="AC32" s="544"/>
      <c r="AD32" s="544"/>
      <c r="AE32" s="546"/>
      <c r="AF32" s="544"/>
      <c r="AG32" s="544"/>
      <c r="AH32" s="544"/>
      <c r="AI32" s="546"/>
      <c r="AJ32" s="546"/>
      <c r="AK32" s="544"/>
      <c r="AL32" s="544"/>
      <c r="AM32" s="544"/>
      <c r="AN32" s="546"/>
      <c r="AO32" s="546"/>
      <c r="AP32" s="544"/>
      <c r="AQ32" s="544"/>
      <c r="AR32" s="544"/>
      <c r="AS32" s="544"/>
      <c r="AT32" s="544"/>
      <c r="AU32" s="544"/>
      <c r="AV32" s="544"/>
      <c r="AW32" s="544"/>
      <c r="AX32" s="546"/>
      <c r="AY32" s="544"/>
      <c r="AZ32" s="544"/>
      <c r="BA32" s="544"/>
      <c r="BB32" s="546"/>
      <c r="BC32" s="546"/>
      <c r="BD32" s="546"/>
    </row>
    <row r="33" spans="1:56" s="551" customFormat="1" ht="49.5" customHeight="1" thickTop="1">
      <c r="A33" s="1155" t="s">
        <v>244</v>
      </c>
      <c r="B33" s="1156"/>
      <c r="C33" s="602"/>
      <c r="D33" s="602"/>
      <c r="E33" s="602"/>
      <c r="F33" s="602"/>
      <c r="G33" s="603"/>
      <c r="H33" s="362"/>
      <c r="I33" s="363"/>
      <c r="J33" s="363"/>
      <c r="K33" s="363"/>
      <c r="L33" s="362"/>
      <c r="M33" s="363"/>
      <c r="N33" s="363"/>
      <c r="O33" s="363"/>
      <c r="P33" s="362"/>
      <c r="Q33" s="362"/>
      <c r="R33" s="363"/>
      <c r="S33" s="363"/>
      <c r="T33" s="363"/>
      <c r="U33" s="362"/>
      <c r="V33" s="362"/>
      <c r="W33" s="363"/>
      <c r="X33" s="363"/>
      <c r="Y33" s="363"/>
      <c r="Z33" s="362"/>
      <c r="AA33" s="362"/>
      <c r="AB33" s="363"/>
      <c r="AC33" s="363"/>
      <c r="AD33" s="363"/>
      <c r="AE33" s="362"/>
      <c r="AF33" s="363"/>
      <c r="AG33" s="363"/>
      <c r="AH33" s="363"/>
      <c r="AI33" s="362"/>
      <c r="AJ33" s="362"/>
      <c r="AK33" s="363"/>
      <c r="AL33" s="363"/>
      <c r="AM33" s="363"/>
      <c r="AN33" s="362"/>
      <c r="AO33" s="362"/>
      <c r="AP33" s="363"/>
      <c r="AQ33" s="363"/>
      <c r="AR33" s="363"/>
      <c r="AS33" s="362"/>
      <c r="AT33" s="362"/>
      <c r="AU33" s="363"/>
      <c r="AV33" s="363"/>
      <c r="AW33" s="363"/>
      <c r="AX33" s="362"/>
      <c r="AY33" s="363"/>
      <c r="AZ33" s="363"/>
      <c r="BA33" s="363"/>
      <c r="BB33" s="362">
        <f>SUM(AY33:BA33)</f>
        <v>0</v>
      </c>
      <c r="BC33" s="362"/>
      <c r="BD33" s="361"/>
    </row>
    <row r="34" spans="1:56" ht="44.25" customHeight="1">
      <c r="A34" s="360"/>
      <c r="B34" s="359" t="s">
        <v>245</v>
      </c>
      <c r="C34" s="233">
        <v>0</v>
      </c>
      <c r="D34" s="233">
        <v>0</v>
      </c>
      <c r="E34" s="233">
        <v>3</v>
      </c>
      <c r="F34" s="233">
        <v>15</v>
      </c>
      <c r="G34" s="358">
        <f>SUM(D34:F34)</f>
        <v>18</v>
      </c>
      <c r="H34" s="357">
        <f>SUM(C34:F34)</f>
        <v>18</v>
      </c>
      <c r="I34" s="604">
        <v>47</v>
      </c>
      <c r="J34" s="604">
        <v>130</v>
      </c>
      <c r="K34" s="604">
        <v>252</v>
      </c>
      <c r="L34" s="234">
        <f>SUM(I34:K34)</f>
        <v>429</v>
      </c>
      <c r="M34" s="605">
        <f>637-413</f>
        <v>224</v>
      </c>
      <c r="N34" s="605">
        <v>268</v>
      </c>
      <c r="O34" s="605">
        <v>700</v>
      </c>
      <c r="P34" s="234">
        <f>SUM(M34:O34)</f>
        <v>1192</v>
      </c>
      <c r="Q34" s="238">
        <f>L34+P34</f>
        <v>1621</v>
      </c>
      <c r="R34" s="605">
        <v>941</v>
      </c>
      <c r="S34" s="605">
        <v>253</v>
      </c>
      <c r="T34" s="605">
        <f>3051-2833</f>
        <v>218</v>
      </c>
      <c r="U34" s="234">
        <f>SUM(R34:T34)</f>
        <v>1412</v>
      </c>
      <c r="V34" s="238">
        <f>SUM(L34,P34,U34)</f>
        <v>3033</v>
      </c>
      <c r="W34" s="605">
        <f>3391-3051</f>
        <v>340</v>
      </c>
      <c r="X34" s="605">
        <f>3705-3391</f>
        <v>314</v>
      </c>
      <c r="Y34" s="355">
        <f>4169-3705</f>
        <v>464</v>
      </c>
      <c r="Z34" s="234">
        <f>SUM(W34:Y34)</f>
        <v>1118</v>
      </c>
      <c r="AA34" s="353">
        <f>L34+P34+U34+Z34</f>
        <v>4151</v>
      </c>
      <c r="AB34" s="355">
        <f>4768-4169</f>
        <v>599</v>
      </c>
      <c r="AC34" s="605">
        <f>5071-4768</f>
        <v>303</v>
      </c>
      <c r="AD34" s="605">
        <f>5635-5071</f>
        <v>564</v>
      </c>
      <c r="AE34" s="234">
        <f>SUM(AB34:AD34)</f>
        <v>1466</v>
      </c>
      <c r="AF34" s="355">
        <f>6009-5635</f>
        <v>374</v>
      </c>
      <c r="AG34" s="355">
        <f>6506-6009</f>
        <v>497</v>
      </c>
      <c r="AH34" s="355">
        <v>581</v>
      </c>
      <c r="AI34" s="234">
        <f>SUM(AF34:AH34)</f>
        <v>1452</v>
      </c>
      <c r="AJ34" s="238">
        <f>AE34+AI34</f>
        <v>2918</v>
      </c>
      <c r="AK34" s="605">
        <v>536</v>
      </c>
      <c r="AL34" s="605">
        <v>189</v>
      </c>
      <c r="AM34" s="605">
        <v>285</v>
      </c>
      <c r="AN34" s="234">
        <f>SUM(AK34:AM34)</f>
        <v>1010</v>
      </c>
      <c r="AO34" s="238">
        <f>SUM(AE34,AI34,AN34)</f>
        <v>3928</v>
      </c>
      <c r="AP34" s="605">
        <v>680</v>
      </c>
      <c r="AQ34" s="605">
        <v>395</v>
      </c>
      <c r="AR34" s="355">
        <v>415</v>
      </c>
      <c r="AS34" s="234">
        <f>SUM(AP34:AR34)</f>
        <v>1490</v>
      </c>
      <c r="AT34" s="356">
        <f>AE34+AI34+AN34+AS34</f>
        <v>5418</v>
      </c>
      <c r="AU34" s="355">
        <v>276</v>
      </c>
      <c r="AV34" s="355">
        <v>237</v>
      </c>
      <c r="AW34" s="355">
        <v>275</v>
      </c>
      <c r="AX34" s="354">
        <f>SUM(AU34:AW34)</f>
        <v>788</v>
      </c>
      <c r="AY34" s="355">
        <v>250</v>
      </c>
      <c r="AZ34" s="355">
        <v>226</v>
      </c>
      <c r="BA34" s="355">
        <f>147+36</f>
        <v>183</v>
      </c>
      <c r="BB34" s="354">
        <f>SUM(AY34:BA34)</f>
        <v>659</v>
      </c>
      <c r="BC34" s="353">
        <f>SUM(AX34,BB34)</f>
        <v>1447</v>
      </c>
      <c r="BD34" s="352">
        <f>BC34+AT34+AA34+H34</f>
        <v>11034</v>
      </c>
    </row>
    <row r="35" spans="1:56" s="344" customFormat="1" ht="44.25" customHeight="1">
      <c r="A35" s="351"/>
      <c r="B35" s="350" t="s">
        <v>246</v>
      </c>
      <c r="C35" s="775">
        <v>0</v>
      </c>
      <c r="D35" s="775">
        <v>0</v>
      </c>
      <c r="E35" s="775">
        <v>3</v>
      </c>
      <c r="F35" s="775">
        <v>16</v>
      </c>
      <c r="G35" s="349">
        <f>SUM(D35:F35)</f>
        <v>19</v>
      </c>
      <c r="H35" s="348">
        <f>SUM(C35:F35)</f>
        <v>19</v>
      </c>
      <c r="I35" s="606">
        <v>41</v>
      </c>
      <c r="J35" s="606">
        <v>127</v>
      </c>
      <c r="K35" s="606">
        <v>218</v>
      </c>
      <c r="L35" s="346">
        <f>SUM(I35:K35)</f>
        <v>386</v>
      </c>
      <c r="M35" s="607">
        <v>199</v>
      </c>
      <c r="N35" s="607">
        <v>265</v>
      </c>
      <c r="O35" s="607">
        <v>668</v>
      </c>
      <c r="P35" s="346">
        <f>SUM(M35:O35)</f>
        <v>1132</v>
      </c>
      <c r="Q35" s="347">
        <f>SUM(L35,P35)</f>
        <v>1518</v>
      </c>
      <c r="R35" s="607">
        <v>875</v>
      </c>
      <c r="S35" s="607">
        <v>182</v>
      </c>
      <c r="T35" s="607">
        <f>2806-2594</f>
        <v>212</v>
      </c>
      <c r="U35" s="346">
        <f>SUM(R35:T35)</f>
        <v>1269</v>
      </c>
      <c r="V35" s="347">
        <f>SUM(L35,P35,U35)</f>
        <v>2787</v>
      </c>
      <c r="W35" s="607">
        <f>3177-2806</f>
        <v>371</v>
      </c>
      <c r="X35" s="607">
        <f>3500-3177</f>
        <v>323</v>
      </c>
      <c r="Y35" s="345">
        <f>3987-3500</f>
        <v>487</v>
      </c>
      <c r="Z35" s="346">
        <f>SUM(W35:Y35)</f>
        <v>1181</v>
      </c>
      <c r="AA35" s="347">
        <f>L35+P35+U35+Z35</f>
        <v>3968</v>
      </c>
      <c r="AB35" s="345">
        <f>4615-3987</f>
        <v>628</v>
      </c>
      <c r="AC35" s="607">
        <f>4919-4615</f>
        <v>304</v>
      </c>
      <c r="AD35" s="607">
        <f>5491-4919</f>
        <v>572</v>
      </c>
      <c r="AE35" s="346">
        <f>SUM(AB35:AD35)</f>
        <v>1504</v>
      </c>
      <c r="AF35" s="345">
        <f>5882-5491</f>
        <v>391</v>
      </c>
      <c r="AG35" s="345">
        <f>6353-5882</f>
        <v>471</v>
      </c>
      <c r="AH35" s="345">
        <v>537</v>
      </c>
      <c r="AI35" s="346">
        <f>SUM(AF35:AH35)</f>
        <v>1399</v>
      </c>
      <c r="AJ35" s="347">
        <f>SUM(AE35,AI35)</f>
        <v>2903</v>
      </c>
      <c r="AK35" s="607">
        <v>523</v>
      </c>
      <c r="AL35" s="607">
        <v>185</v>
      </c>
      <c r="AM35" s="607">
        <v>247</v>
      </c>
      <c r="AN35" s="346">
        <f>SUM(AK35:AM35)</f>
        <v>955</v>
      </c>
      <c r="AO35" s="347">
        <f>SUM(AE35,AI35,AN35)</f>
        <v>3858</v>
      </c>
      <c r="AP35" s="607">
        <v>571</v>
      </c>
      <c r="AQ35" s="607">
        <v>371</v>
      </c>
      <c r="AR35" s="345">
        <v>391</v>
      </c>
      <c r="AS35" s="346">
        <f>SUM(AP35:AR35)</f>
        <v>1333</v>
      </c>
      <c r="AT35" s="776">
        <f>AE35+AI35+AN35+AS35</f>
        <v>5191</v>
      </c>
      <c r="AU35" s="345">
        <v>261</v>
      </c>
      <c r="AV35" s="345">
        <v>216</v>
      </c>
      <c r="AW35" s="345">
        <v>245</v>
      </c>
      <c r="AX35" s="608">
        <f>SUM(AU35:AW35)</f>
        <v>722</v>
      </c>
      <c r="AY35" s="345">
        <v>255</v>
      </c>
      <c r="AZ35" s="345">
        <v>227</v>
      </c>
      <c r="BA35" s="345">
        <v>163</v>
      </c>
      <c r="BB35" s="777">
        <f>SUM(AY35:BA35)</f>
        <v>645</v>
      </c>
      <c r="BC35" s="778">
        <f>AX35+BB35</f>
        <v>1367</v>
      </c>
      <c r="BD35" s="779">
        <f>BC35+AT35+AA35+H35</f>
        <v>10545</v>
      </c>
    </row>
    <row r="36" spans="1:56" s="366" customFormat="1" ht="62.25" customHeight="1" thickBot="1">
      <c r="A36" s="609"/>
      <c r="B36" s="780" t="s">
        <v>247</v>
      </c>
      <c r="C36" s="781"/>
      <c r="D36" s="781"/>
      <c r="E36" s="781"/>
      <c r="F36" s="781"/>
      <c r="G36" s="782"/>
      <c r="H36" s="783">
        <f>H34/H10</f>
        <v>6.8965517241379309E-2</v>
      </c>
      <c r="I36" s="784"/>
      <c r="J36" s="784"/>
      <c r="K36" s="784"/>
      <c r="L36" s="784">
        <f>(H34+L34)/(H10+L10)</f>
        <v>0.39210526315789473</v>
      </c>
      <c r="M36" s="785"/>
      <c r="N36" s="785"/>
      <c r="O36" s="785"/>
      <c r="P36" s="784">
        <f>(H34+L34+P34)/(H10+L10+P10)</f>
        <v>0.37343358395989973</v>
      </c>
      <c r="Q36" s="784"/>
      <c r="R36" s="784"/>
      <c r="S36" s="784"/>
      <c r="T36" s="784"/>
      <c r="U36" s="784">
        <f>(H34+L34+P34+U34)/(H10+L10+P10+U10)</f>
        <v>0.50926389584376563</v>
      </c>
      <c r="V36" s="785"/>
      <c r="W36" s="785"/>
      <c r="X36" s="785"/>
      <c r="Y36" s="785"/>
      <c r="Z36" s="784">
        <f>(H34+L34+P34+U34+Z34)/(H10+L10+P10+U10+Z10)</f>
        <v>0.51513653774867174</v>
      </c>
      <c r="AA36" s="783">
        <f>(AA34+H34)/(AA10+H10)</f>
        <v>0.51513653774867174</v>
      </c>
      <c r="AB36" s="786"/>
      <c r="AC36" s="786"/>
      <c r="AD36" s="786"/>
      <c r="AE36" s="784">
        <f>(AE34+AA34+H34)/(AE10+AA10+H10)</f>
        <v>0.53050273018263983</v>
      </c>
      <c r="AF36" s="786"/>
      <c r="AG36" s="786"/>
      <c r="AH36" s="786"/>
      <c r="AI36" s="784">
        <f>(AI34+AE34+AA34+H34)/(AI10+AE10+AA10+H10)</f>
        <v>0.52687532525462788</v>
      </c>
      <c r="AJ36" s="787"/>
      <c r="AK36" s="786"/>
      <c r="AL36" s="786"/>
      <c r="AM36" s="786"/>
      <c r="AN36" s="784">
        <f>(AN34+AI34+AE34+AA34+H34)/(AN10+AI10+AE10+AA10+H10)</f>
        <v>0.50879728540907376</v>
      </c>
      <c r="AO36" s="787"/>
      <c r="AP36" s="786"/>
      <c r="AQ36" s="786"/>
      <c r="AR36" s="786"/>
      <c r="AS36" s="784">
        <f>(AS34+AN34+AI34+AE34+AA34+H34)/(AS10+AN10+AI10+AE10+AA10+H10)</f>
        <v>0.53917102525167315</v>
      </c>
      <c r="AT36" s="783">
        <f>(AT34+AA34+H34)/(H10+AA10+AT10)</f>
        <v>0.53917102525167315</v>
      </c>
      <c r="AU36" s="788">
        <f>(AU34+AT34+AA34+H34)/(H10+AA10+AT10+AU10)</f>
        <v>0.53990584628859206</v>
      </c>
      <c r="AV36" s="788">
        <f>(AV34+AU34+AT34+AA34+H34)/(H10+AA10+AT10+AU10+AV10)</f>
        <v>0.5340242161476233</v>
      </c>
      <c r="AW36" s="788">
        <f>(AW34+AV34+AU34+AT34+AA34+H34)/(H10+AA10+AT10+AU10+AV10+AW10)</f>
        <v>0.52062424729024492</v>
      </c>
      <c r="AX36" s="789">
        <f>(AX34+AT34+AA34+H34)/(H10+AA10+AT10+AX10)</f>
        <v>0.52062424729024492</v>
      </c>
      <c r="AY36" s="788">
        <f>(AY34+AX34+AT34+AA34+H34)/(H10+AA10+AT10+AX10+AY10)</f>
        <v>0.51864688079664156</v>
      </c>
      <c r="AZ36" s="788">
        <f>(AZ34+AY34+AX34+AT34+AA34+H34)/(H10+AA10+AT10+AX10+AY10+AZ10)</f>
        <v>0.51583000570450654</v>
      </c>
      <c r="BA36" s="788">
        <f>(BB34+AX34+AT34+AA34+H34)/(H10+AA10+AT10+AX10+BB10)</f>
        <v>0.51294686439496073</v>
      </c>
      <c r="BB36" s="610">
        <f>(BB34+AX34+AT34+AA34+H34)/(H10+AA10+AT10+AX10+BB10)</f>
        <v>0.51294686439496073</v>
      </c>
      <c r="BC36" s="611">
        <f>(BC34+AT34+AA34+H34)/(H10+AA10+AT10+BC10)</f>
        <v>0.51294686439496073</v>
      </c>
      <c r="BD36" s="790">
        <f>BD34/(BD10)</f>
        <v>0.51294686439496073</v>
      </c>
    </row>
    <row r="37" spans="1:56" s="341" customFormat="1" ht="15.75" customHeight="1" thickTop="1">
      <c r="A37" s="343"/>
      <c r="B37" s="342"/>
      <c r="C37" s="558"/>
      <c r="D37" s="559"/>
      <c r="E37" s="559"/>
      <c r="F37" s="559"/>
      <c r="G37" s="558"/>
      <c r="H37" s="559"/>
      <c r="I37" s="559"/>
      <c r="J37" s="559"/>
      <c r="K37" s="560"/>
      <c r="L37" s="560"/>
      <c r="M37" s="560"/>
    </row>
    <row r="38" spans="1:56" s="341" customFormat="1" ht="33" customHeight="1">
      <c r="A38" s="1157" t="s">
        <v>248</v>
      </c>
      <c r="B38" s="1157"/>
      <c r="C38" s="558"/>
      <c r="D38" s="559"/>
      <c r="E38" s="559"/>
      <c r="F38" s="559"/>
      <c r="G38" s="558"/>
      <c r="H38" s="559"/>
      <c r="I38" s="559"/>
      <c r="J38" s="559"/>
      <c r="K38" s="560"/>
      <c r="L38" s="560"/>
      <c r="M38" s="560"/>
    </row>
    <row r="39" spans="1:56" s="561" customFormat="1" ht="32.25" customHeight="1">
      <c r="A39" s="1157" t="s">
        <v>249</v>
      </c>
      <c r="B39" s="1157"/>
      <c r="C39" s="612"/>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c r="AO39" s="612"/>
      <c r="AP39" s="612"/>
      <c r="AQ39" s="612"/>
      <c r="AR39" s="612"/>
      <c r="AS39" s="612"/>
      <c r="AT39" s="613"/>
      <c r="AU39" s="612"/>
      <c r="AV39" s="612"/>
      <c r="AW39" s="612"/>
      <c r="AX39" s="614"/>
      <c r="AY39" s="612"/>
      <c r="BA39" s="612"/>
      <c r="BB39" s="612"/>
      <c r="BC39" s="612"/>
      <c r="BD39" s="615"/>
    </row>
    <row r="40" spans="1:56" ht="40.5" customHeight="1">
      <c r="A40" s="1157" t="s">
        <v>250</v>
      </c>
      <c r="B40" s="1157"/>
      <c r="C40" s="616"/>
      <c r="D40" s="616"/>
      <c r="E40" s="616"/>
      <c r="F40" s="616"/>
      <c r="G40" s="616"/>
      <c r="H40" s="612"/>
      <c r="I40" s="612"/>
      <c r="J40" s="612"/>
      <c r="K40" s="612"/>
      <c r="L40" s="612"/>
      <c r="M40" s="612"/>
      <c r="N40" s="612"/>
      <c r="O40" s="612"/>
      <c r="P40" s="612"/>
      <c r="Q40" s="612"/>
      <c r="R40" s="612"/>
      <c r="S40" s="612"/>
      <c r="T40" s="612"/>
      <c r="U40" s="612"/>
      <c r="V40" s="612"/>
      <c r="W40" s="612"/>
      <c r="X40" s="612"/>
      <c r="Y40" s="612"/>
      <c r="Z40" s="612"/>
      <c r="AA40" s="612"/>
      <c r="AB40" s="612"/>
      <c r="AC40" s="617"/>
      <c r="AD40" s="612"/>
      <c r="AE40" s="612"/>
      <c r="AF40" s="612"/>
      <c r="AG40" s="612"/>
      <c r="AH40" s="618"/>
      <c r="AI40" s="612"/>
      <c r="AJ40" s="612"/>
      <c r="AK40" s="612"/>
      <c r="AL40" s="612"/>
      <c r="AM40" s="612"/>
      <c r="AN40" s="612"/>
      <c r="AO40" s="612"/>
      <c r="AP40" s="612"/>
      <c r="AQ40" s="612"/>
      <c r="AR40" s="612"/>
      <c r="AS40" s="612"/>
      <c r="AT40" s="612"/>
      <c r="AU40" s="612"/>
      <c r="AV40" s="612"/>
      <c r="AW40" s="612"/>
      <c r="AX40" s="612"/>
      <c r="AY40" s="612"/>
      <c r="AZ40" s="612"/>
      <c r="BA40" s="612"/>
      <c r="BB40" s="612"/>
      <c r="BC40" s="612"/>
      <c r="BD40" s="612"/>
    </row>
    <row r="41" spans="1:56" ht="59.25" customHeight="1">
      <c r="A41" s="1152" t="s">
        <v>251</v>
      </c>
      <c r="B41" s="1152"/>
      <c r="C41" s="619"/>
      <c r="D41" s="619"/>
      <c r="E41" s="619"/>
      <c r="F41" s="619"/>
      <c r="G41" s="619"/>
      <c r="H41" s="612"/>
      <c r="I41" s="612"/>
      <c r="J41" s="612"/>
      <c r="K41" s="612"/>
      <c r="L41" s="612"/>
      <c r="M41" s="612"/>
      <c r="N41" s="612"/>
      <c r="O41" s="612"/>
      <c r="P41" s="612"/>
      <c r="Q41" s="612"/>
      <c r="R41" s="612"/>
      <c r="S41" s="612"/>
      <c r="T41" s="612"/>
      <c r="U41" s="612"/>
      <c r="V41" s="612"/>
      <c r="W41" s="612"/>
      <c r="X41" s="612"/>
      <c r="Y41" s="612"/>
      <c r="Z41" s="612"/>
      <c r="AA41" s="612"/>
      <c r="AB41" s="612"/>
      <c r="AC41" s="620"/>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c r="BC41" s="612"/>
      <c r="BD41" s="612"/>
    </row>
    <row r="42" spans="1:56" s="338" customFormat="1">
      <c r="G42" s="340"/>
      <c r="L42" s="340"/>
      <c r="P42" s="340"/>
      <c r="U42" s="340"/>
      <c r="V42" s="340"/>
      <c r="Z42" s="340"/>
      <c r="AE42" s="340"/>
      <c r="AI42" s="340"/>
      <c r="AN42" s="340"/>
      <c r="AO42" s="340"/>
      <c r="AS42" s="340"/>
      <c r="AX42" s="340"/>
      <c r="BB42" s="340"/>
      <c r="BD42" s="339"/>
    </row>
    <row r="43" spans="1:56" s="338" customFormat="1">
      <c r="G43" s="340"/>
      <c r="L43" s="340"/>
      <c r="P43" s="340"/>
      <c r="U43" s="340"/>
      <c r="V43" s="340"/>
      <c r="Z43" s="340"/>
      <c r="AE43" s="340"/>
      <c r="AI43" s="340"/>
      <c r="AN43" s="340"/>
      <c r="AO43" s="340"/>
      <c r="AS43" s="340"/>
      <c r="AX43" s="340"/>
      <c r="BB43" s="340"/>
      <c r="BD43" s="339"/>
    </row>
    <row r="44" spans="1:56" s="338" customFormat="1">
      <c r="G44" s="340"/>
      <c r="L44" s="340"/>
      <c r="P44" s="340"/>
      <c r="U44" s="340"/>
      <c r="V44" s="340"/>
      <c r="Z44" s="340"/>
      <c r="AE44" s="340"/>
      <c r="AI44" s="340"/>
      <c r="AN44" s="340"/>
      <c r="AO44" s="340"/>
      <c r="AS44" s="340"/>
      <c r="AX44" s="340"/>
      <c r="BB44" s="340"/>
      <c r="BD44" s="339"/>
    </row>
    <row r="45" spans="1:56" s="338" customFormat="1">
      <c r="G45" s="340"/>
      <c r="L45" s="340"/>
      <c r="P45" s="340"/>
      <c r="U45" s="340"/>
      <c r="V45" s="340"/>
      <c r="Z45" s="340"/>
      <c r="AE45" s="340"/>
      <c r="AI45" s="340"/>
      <c r="AN45" s="340"/>
      <c r="AO45" s="340"/>
      <c r="AS45" s="340"/>
      <c r="AX45" s="340"/>
      <c r="BB45" s="340"/>
      <c r="BD45" s="339"/>
    </row>
    <row r="46" spans="1:56" s="338" customFormat="1">
      <c r="G46" s="340"/>
      <c r="L46" s="340"/>
      <c r="P46" s="340"/>
      <c r="U46" s="340"/>
      <c r="V46" s="340"/>
      <c r="Z46" s="340"/>
      <c r="AE46" s="340"/>
      <c r="AI46" s="340"/>
      <c r="AN46" s="340"/>
      <c r="AO46" s="340"/>
      <c r="AS46" s="340"/>
      <c r="AX46" s="340"/>
      <c r="BB46" s="340"/>
      <c r="BD46" s="339"/>
    </row>
    <row r="47" spans="1:56" s="338" customFormat="1">
      <c r="G47" s="340"/>
      <c r="L47" s="340"/>
      <c r="P47" s="340"/>
      <c r="U47" s="340"/>
      <c r="V47" s="340"/>
      <c r="Z47" s="340"/>
      <c r="AE47" s="340"/>
      <c r="AI47" s="340"/>
      <c r="AN47" s="340"/>
      <c r="AO47" s="340"/>
      <c r="AS47" s="340"/>
      <c r="AX47" s="340"/>
      <c r="BB47" s="340"/>
      <c r="BD47" s="339"/>
    </row>
    <row r="48" spans="1:56" s="338" customFormat="1">
      <c r="G48" s="340"/>
      <c r="L48" s="340"/>
      <c r="P48" s="340"/>
      <c r="U48" s="340"/>
      <c r="V48" s="340"/>
      <c r="Z48" s="340"/>
      <c r="AE48" s="340"/>
      <c r="AI48" s="340"/>
      <c r="AN48" s="340"/>
      <c r="AO48" s="340"/>
      <c r="AS48" s="340"/>
      <c r="AX48" s="340"/>
      <c r="BB48" s="340"/>
      <c r="BD48" s="339"/>
    </row>
    <row r="49" spans="7:56" s="338" customFormat="1">
      <c r="G49" s="340"/>
      <c r="L49" s="340"/>
      <c r="P49" s="340"/>
      <c r="U49" s="340"/>
      <c r="V49" s="340"/>
      <c r="Z49" s="340"/>
      <c r="AE49" s="340"/>
      <c r="AI49" s="340"/>
      <c r="AN49" s="340"/>
      <c r="AO49" s="340"/>
      <c r="AS49" s="340"/>
      <c r="AX49" s="340"/>
      <c r="BB49" s="340"/>
      <c r="BD49" s="339"/>
    </row>
    <row r="50" spans="7:56" s="338" customFormat="1">
      <c r="G50" s="340"/>
      <c r="L50" s="340"/>
      <c r="P50" s="340"/>
      <c r="U50" s="340"/>
      <c r="V50" s="340"/>
      <c r="Z50" s="340"/>
      <c r="AE50" s="340"/>
      <c r="AI50" s="340"/>
      <c r="AN50" s="340"/>
      <c r="AO50" s="340"/>
      <c r="AS50" s="340"/>
      <c r="AX50" s="340"/>
      <c r="BB50" s="340"/>
      <c r="BD50" s="339"/>
    </row>
    <row r="51" spans="7:56" s="338" customFormat="1">
      <c r="G51" s="340"/>
      <c r="L51" s="340"/>
      <c r="P51" s="340"/>
      <c r="U51" s="340"/>
      <c r="V51" s="340"/>
      <c r="Z51" s="340"/>
      <c r="AE51" s="340"/>
      <c r="AI51" s="340"/>
      <c r="AN51" s="340"/>
      <c r="AO51" s="340"/>
      <c r="AS51" s="340"/>
      <c r="AX51" s="340"/>
      <c r="BB51" s="340"/>
      <c r="BD51" s="339"/>
    </row>
    <row r="52" spans="7:56" s="338" customFormat="1">
      <c r="G52" s="340"/>
      <c r="L52" s="340"/>
      <c r="P52" s="340"/>
      <c r="U52" s="340"/>
      <c r="V52" s="340"/>
      <c r="Z52" s="340"/>
      <c r="AE52" s="340"/>
      <c r="AI52" s="340"/>
      <c r="AN52" s="340"/>
      <c r="AO52" s="340"/>
      <c r="AS52" s="340"/>
      <c r="AX52" s="340"/>
      <c r="BB52" s="340"/>
      <c r="BD52" s="339"/>
    </row>
    <row r="53" spans="7:56" s="338" customFormat="1">
      <c r="G53" s="340"/>
      <c r="L53" s="340"/>
      <c r="P53" s="340"/>
      <c r="U53" s="340"/>
      <c r="V53" s="340"/>
      <c r="Z53" s="340"/>
      <c r="AE53" s="340"/>
      <c r="AI53" s="340"/>
      <c r="AN53" s="340"/>
      <c r="AO53" s="340"/>
      <c r="AS53" s="340"/>
      <c r="AX53" s="340"/>
      <c r="BB53" s="340"/>
      <c r="BD53" s="339"/>
    </row>
    <row r="54" spans="7:56" s="338" customFormat="1">
      <c r="G54" s="340"/>
      <c r="L54" s="340"/>
      <c r="P54" s="340"/>
      <c r="U54" s="340"/>
      <c r="V54" s="340"/>
      <c r="Z54" s="340"/>
      <c r="AE54" s="340"/>
      <c r="AI54" s="340"/>
      <c r="AN54" s="340"/>
      <c r="AO54" s="340"/>
      <c r="AS54" s="340"/>
      <c r="AX54" s="340"/>
      <c r="BB54" s="340"/>
      <c r="BD54" s="339"/>
    </row>
    <row r="55" spans="7:56" s="338" customFormat="1">
      <c r="G55" s="340"/>
      <c r="L55" s="340"/>
      <c r="P55" s="340"/>
      <c r="U55" s="340"/>
      <c r="V55" s="340"/>
      <c r="Z55" s="340"/>
      <c r="AE55" s="340"/>
      <c r="AI55" s="340"/>
      <c r="AN55" s="340"/>
      <c r="AO55" s="340"/>
      <c r="AS55" s="340"/>
      <c r="AX55" s="340"/>
      <c r="BB55" s="340"/>
      <c r="BD55" s="339"/>
    </row>
    <row r="56" spans="7:56" s="338" customFormat="1">
      <c r="G56" s="340"/>
      <c r="L56" s="340"/>
      <c r="P56" s="340"/>
      <c r="U56" s="340"/>
      <c r="V56" s="340"/>
      <c r="Z56" s="340"/>
      <c r="AE56" s="340"/>
      <c r="AI56" s="340"/>
      <c r="AN56" s="340"/>
      <c r="AO56" s="340"/>
      <c r="AS56" s="340"/>
      <c r="AX56" s="340"/>
      <c r="BB56" s="340"/>
      <c r="BD56" s="339"/>
    </row>
    <row r="57" spans="7:56" s="338" customFormat="1">
      <c r="G57" s="340"/>
      <c r="L57" s="340"/>
      <c r="P57" s="340"/>
      <c r="U57" s="340"/>
      <c r="V57" s="340"/>
      <c r="Z57" s="340"/>
      <c r="AE57" s="340"/>
      <c r="AI57" s="340"/>
      <c r="AN57" s="340"/>
      <c r="AO57" s="340"/>
      <c r="AS57" s="340"/>
      <c r="AX57" s="340"/>
      <c r="BB57" s="340"/>
      <c r="BD57" s="339"/>
    </row>
    <row r="58" spans="7:56" s="338" customFormat="1">
      <c r="G58" s="340"/>
      <c r="L58" s="340"/>
      <c r="P58" s="340"/>
      <c r="U58" s="340"/>
      <c r="V58" s="340"/>
      <c r="Z58" s="340"/>
      <c r="AE58" s="340"/>
      <c r="AI58" s="340"/>
      <c r="AN58" s="340"/>
      <c r="AO58" s="340"/>
      <c r="AS58" s="340"/>
      <c r="AX58" s="340"/>
      <c r="BB58" s="340"/>
      <c r="BD58" s="339"/>
    </row>
    <row r="59" spans="7:56" s="338" customFormat="1">
      <c r="G59" s="340"/>
      <c r="L59" s="340"/>
      <c r="P59" s="340"/>
      <c r="U59" s="340"/>
      <c r="V59" s="340"/>
      <c r="Z59" s="340"/>
      <c r="AE59" s="340"/>
      <c r="AI59" s="340"/>
      <c r="AN59" s="340"/>
      <c r="AO59" s="340"/>
      <c r="AS59" s="340"/>
      <c r="AX59" s="340"/>
      <c r="BB59" s="340"/>
      <c r="BD59" s="339"/>
    </row>
    <row r="60" spans="7:56" s="338" customFormat="1">
      <c r="G60" s="340"/>
      <c r="L60" s="340"/>
      <c r="P60" s="340"/>
      <c r="U60" s="340"/>
      <c r="V60" s="340"/>
      <c r="Z60" s="340"/>
      <c r="AE60" s="340"/>
      <c r="AI60" s="340"/>
      <c r="AN60" s="340"/>
      <c r="AO60" s="340"/>
      <c r="AS60" s="340"/>
      <c r="AX60" s="340"/>
      <c r="BB60" s="340"/>
      <c r="BD60" s="339"/>
    </row>
    <row r="61" spans="7:56" s="338" customFormat="1">
      <c r="G61" s="340"/>
      <c r="L61" s="340"/>
      <c r="P61" s="340"/>
      <c r="U61" s="340"/>
      <c r="V61" s="340"/>
      <c r="Z61" s="340"/>
      <c r="AE61" s="340"/>
      <c r="AI61" s="340"/>
      <c r="AN61" s="340"/>
      <c r="AO61" s="340"/>
      <c r="AS61" s="340"/>
      <c r="AX61" s="340"/>
      <c r="BB61" s="340"/>
      <c r="BD61" s="339"/>
    </row>
    <row r="62" spans="7:56" s="338" customFormat="1">
      <c r="G62" s="340"/>
      <c r="L62" s="340"/>
      <c r="P62" s="340"/>
      <c r="U62" s="340"/>
      <c r="V62" s="340"/>
      <c r="Z62" s="340"/>
      <c r="AE62" s="340"/>
      <c r="AI62" s="340"/>
      <c r="AN62" s="340"/>
      <c r="AO62" s="340"/>
      <c r="AS62" s="340"/>
      <c r="AX62" s="340"/>
      <c r="BB62" s="340"/>
      <c r="BD62" s="339"/>
    </row>
    <row r="63" spans="7:56" s="338" customFormat="1">
      <c r="G63" s="340"/>
      <c r="L63" s="340"/>
      <c r="P63" s="340"/>
      <c r="U63" s="340"/>
      <c r="V63" s="340"/>
      <c r="Z63" s="340"/>
      <c r="AE63" s="340"/>
      <c r="AI63" s="340"/>
      <c r="AN63" s="340"/>
      <c r="AO63" s="340"/>
      <c r="AS63" s="340"/>
      <c r="AX63" s="340"/>
      <c r="BB63" s="340"/>
      <c r="BD63" s="339"/>
    </row>
    <row r="64" spans="7:56" s="338" customFormat="1">
      <c r="G64" s="340"/>
      <c r="L64" s="340"/>
      <c r="P64" s="340"/>
      <c r="U64" s="340"/>
      <c r="V64" s="340"/>
      <c r="Z64" s="340"/>
      <c r="AE64" s="340"/>
      <c r="AI64" s="340"/>
      <c r="AN64" s="340"/>
      <c r="AO64" s="340"/>
      <c r="AS64" s="340"/>
      <c r="AX64" s="340"/>
      <c r="BB64" s="340"/>
      <c r="BD64" s="339"/>
    </row>
    <row r="65" spans="7:56" s="338" customFormat="1">
      <c r="G65" s="340"/>
      <c r="L65" s="340"/>
      <c r="P65" s="340"/>
      <c r="U65" s="340"/>
      <c r="V65" s="340"/>
      <c r="Z65" s="340"/>
      <c r="AE65" s="340"/>
      <c r="AI65" s="340"/>
      <c r="AN65" s="340"/>
      <c r="AO65" s="340"/>
      <c r="AS65" s="340"/>
      <c r="AX65" s="340"/>
      <c r="BB65" s="340"/>
      <c r="BD65" s="339"/>
    </row>
    <row r="66" spans="7:56" s="338" customFormat="1">
      <c r="G66" s="340"/>
      <c r="L66" s="340"/>
      <c r="P66" s="340"/>
      <c r="U66" s="340"/>
      <c r="V66" s="340"/>
      <c r="Z66" s="340"/>
      <c r="AE66" s="340"/>
      <c r="AI66" s="340"/>
      <c r="AN66" s="340"/>
      <c r="AO66" s="340"/>
      <c r="AS66" s="340"/>
      <c r="AX66" s="340"/>
      <c r="BB66" s="340"/>
      <c r="BD66" s="339"/>
    </row>
    <row r="67" spans="7:56" s="338" customFormat="1">
      <c r="G67" s="340"/>
      <c r="L67" s="340"/>
      <c r="P67" s="340"/>
      <c r="U67" s="340"/>
      <c r="V67" s="340"/>
      <c r="Z67" s="340"/>
      <c r="AE67" s="340"/>
      <c r="AI67" s="340"/>
      <c r="AN67" s="340"/>
      <c r="AO67" s="340"/>
      <c r="AS67" s="340"/>
      <c r="AX67" s="340"/>
      <c r="BB67" s="340"/>
      <c r="BD67" s="339"/>
    </row>
    <row r="68" spans="7:56" s="338" customFormat="1">
      <c r="G68" s="340"/>
      <c r="L68" s="340"/>
      <c r="P68" s="340"/>
      <c r="U68" s="340"/>
      <c r="V68" s="340"/>
      <c r="Z68" s="340"/>
      <c r="AE68" s="340"/>
      <c r="AI68" s="340"/>
      <c r="AN68" s="340"/>
      <c r="AO68" s="340"/>
      <c r="AS68" s="340"/>
      <c r="AX68" s="340"/>
      <c r="BB68" s="340"/>
      <c r="BD68" s="339"/>
    </row>
    <row r="69" spans="7:56" s="338" customFormat="1">
      <c r="G69" s="340"/>
      <c r="L69" s="340"/>
      <c r="P69" s="340"/>
      <c r="U69" s="340"/>
      <c r="V69" s="340"/>
      <c r="Z69" s="340"/>
      <c r="AE69" s="340"/>
      <c r="AI69" s="340"/>
      <c r="AN69" s="340"/>
      <c r="AO69" s="340"/>
      <c r="AS69" s="340"/>
      <c r="AX69" s="340"/>
      <c r="BB69" s="340"/>
      <c r="BD69" s="339"/>
    </row>
    <row r="70" spans="7:56" s="338" customFormat="1">
      <c r="G70" s="340"/>
      <c r="L70" s="340"/>
      <c r="P70" s="340"/>
      <c r="U70" s="340"/>
      <c r="V70" s="340"/>
      <c r="Z70" s="340"/>
      <c r="AE70" s="340"/>
      <c r="AI70" s="340"/>
      <c r="AN70" s="340"/>
      <c r="AO70" s="340"/>
      <c r="AS70" s="340"/>
      <c r="AX70" s="340"/>
      <c r="BB70" s="340"/>
      <c r="BD70" s="339"/>
    </row>
    <row r="71" spans="7:56" s="338" customFormat="1">
      <c r="G71" s="340"/>
      <c r="L71" s="340"/>
      <c r="P71" s="340"/>
      <c r="U71" s="340"/>
      <c r="V71" s="340"/>
      <c r="Z71" s="340"/>
      <c r="AE71" s="340"/>
      <c r="AI71" s="340"/>
      <c r="AN71" s="340"/>
      <c r="AO71" s="340"/>
      <c r="AS71" s="340"/>
      <c r="AX71" s="340"/>
      <c r="BB71" s="340"/>
      <c r="BD71" s="339"/>
    </row>
    <row r="72" spans="7:56" s="338" customFormat="1">
      <c r="G72" s="340"/>
      <c r="L72" s="340"/>
      <c r="P72" s="340"/>
      <c r="U72" s="340"/>
      <c r="V72" s="340"/>
      <c r="Z72" s="340"/>
      <c r="AE72" s="340"/>
      <c r="AI72" s="340"/>
      <c r="AN72" s="340"/>
      <c r="AO72" s="340"/>
      <c r="AS72" s="340"/>
      <c r="AX72" s="340"/>
      <c r="BB72" s="340"/>
      <c r="BD72" s="339"/>
    </row>
    <row r="73" spans="7:56" s="338" customFormat="1">
      <c r="G73" s="340"/>
      <c r="L73" s="340"/>
      <c r="P73" s="340"/>
      <c r="U73" s="340"/>
      <c r="V73" s="340"/>
      <c r="Z73" s="340"/>
      <c r="AE73" s="340"/>
      <c r="AI73" s="340"/>
      <c r="AN73" s="340"/>
      <c r="AO73" s="340"/>
      <c r="AS73" s="340"/>
      <c r="AX73" s="340"/>
      <c r="BB73" s="340"/>
      <c r="BD73" s="339"/>
    </row>
    <row r="74" spans="7:56" s="338" customFormat="1">
      <c r="G74" s="340"/>
      <c r="L74" s="340"/>
      <c r="P74" s="340"/>
      <c r="U74" s="340"/>
      <c r="V74" s="340"/>
      <c r="Z74" s="340"/>
      <c r="AE74" s="340"/>
      <c r="AI74" s="340"/>
      <c r="AN74" s="340"/>
      <c r="AO74" s="340"/>
      <c r="AS74" s="340"/>
      <c r="AX74" s="340"/>
      <c r="BB74" s="340"/>
      <c r="BD74" s="339"/>
    </row>
    <row r="75" spans="7:56" s="338" customFormat="1">
      <c r="G75" s="340"/>
      <c r="L75" s="340"/>
      <c r="P75" s="340"/>
      <c r="U75" s="340"/>
      <c r="V75" s="340"/>
      <c r="Z75" s="340"/>
      <c r="AE75" s="340"/>
      <c r="AI75" s="340"/>
      <c r="AN75" s="340"/>
      <c r="AO75" s="340"/>
      <c r="AS75" s="340"/>
      <c r="AX75" s="340"/>
      <c r="BB75" s="340"/>
      <c r="BD75" s="339"/>
    </row>
    <row r="76" spans="7:56" s="338" customFormat="1">
      <c r="G76" s="340"/>
      <c r="L76" s="340"/>
      <c r="P76" s="340"/>
      <c r="U76" s="340"/>
      <c r="V76" s="340"/>
      <c r="Z76" s="340"/>
      <c r="AE76" s="340"/>
      <c r="AI76" s="340"/>
      <c r="AN76" s="340"/>
      <c r="AO76" s="340"/>
      <c r="AS76" s="340"/>
      <c r="AX76" s="340"/>
      <c r="BB76" s="340"/>
      <c r="BD76" s="339"/>
    </row>
    <row r="77" spans="7:56" s="338" customFormat="1">
      <c r="G77" s="340"/>
      <c r="L77" s="340"/>
      <c r="P77" s="340"/>
      <c r="U77" s="340"/>
      <c r="V77" s="340"/>
      <c r="Z77" s="340"/>
      <c r="AE77" s="340"/>
      <c r="AI77" s="340"/>
      <c r="AN77" s="340"/>
      <c r="AO77" s="340"/>
      <c r="AS77" s="340"/>
      <c r="AX77" s="340"/>
      <c r="BB77" s="340"/>
      <c r="BD77" s="339"/>
    </row>
    <row r="78" spans="7:56" s="338" customFormat="1">
      <c r="G78" s="340"/>
      <c r="L78" s="340"/>
      <c r="P78" s="340"/>
      <c r="U78" s="340"/>
      <c r="V78" s="340"/>
      <c r="Z78" s="340"/>
      <c r="AE78" s="340"/>
      <c r="AI78" s="340"/>
      <c r="AN78" s="340"/>
      <c r="AO78" s="340"/>
      <c r="AS78" s="340"/>
      <c r="AX78" s="340"/>
      <c r="BB78" s="340"/>
      <c r="BD78" s="339"/>
    </row>
    <row r="79" spans="7:56" s="338" customFormat="1">
      <c r="G79" s="340"/>
      <c r="L79" s="340"/>
      <c r="P79" s="340"/>
      <c r="U79" s="340"/>
      <c r="V79" s="340"/>
      <c r="Z79" s="340"/>
      <c r="AE79" s="340"/>
      <c r="AI79" s="340"/>
      <c r="AN79" s="340"/>
      <c r="AO79" s="340"/>
      <c r="AS79" s="340"/>
      <c r="AX79" s="340"/>
      <c r="BB79" s="340"/>
      <c r="BD79" s="339"/>
    </row>
    <row r="80" spans="7:56" s="338" customFormat="1">
      <c r="G80" s="340"/>
      <c r="L80" s="340"/>
      <c r="P80" s="340"/>
      <c r="U80" s="340"/>
      <c r="V80" s="340"/>
      <c r="Z80" s="340"/>
      <c r="AE80" s="340"/>
      <c r="AI80" s="340"/>
      <c r="AN80" s="340"/>
      <c r="AO80" s="340"/>
      <c r="AS80" s="340"/>
      <c r="AX80" s="340"/>
      <c r="BB80" s="340"/>
      <c r="BD80" s="339"/>
    </row>
    <row r="81" spans="7:56" s="338" customFormat="1">
      <c r="G81" s="340"/>
      <c r="L81" s="340"/>
      <c r="P81" s="340"/>
      <c r="U81" s="340"/>
      <c r="V81" s="340"/>
      <c r="Z81" s="340"/>
      <c r="AE81" s="340"/>
      <c r="AI81" s="340"/>
      <c r="AN81" s="340"/>
      <c r="AO81" s="340"/>
      <c r="AS81" s="340"/>
      <c r="AX81" s="340"/>
      <c r="BB81" s="340"/>
      <c r="BD81" s="339"/>
    </row>
    <row r="82" spans="7:56" s="338" customFormat="1">
      <c r="G82" s="340"/>
      <c r="L82" s="340"/>
      <c r="P82" s="340"/>
      <c r="U82" s="340"/>
      <c r="V82" s="340"/>
      <c r="Z82" s="340"/>
      <c r="AE82" s="340"/>
      <c r="AI82" s="340"/>
      <c r="AN82" s="340"/>
      <c r="AO82" s="340"/>
      <c r="AS82" s="340"/>
      <c r="AX82" s="340"/>
      <c r="BB82" s="340"/>
      <c r="BD82" s="339"/>
    </row>
    <row r="83" spans="7:56" s="338" customFormat="1">
      <c r="G83" s="340"/>
      <c r="L83" s="340"/>
      <c r="P83" s="340"/>
      <c r="U83" s="340"/>
      <c r="V83" s="340"/>
      <c r="Z83" s="340"/>
      <c r="AE83" s="340"/>
      <c r="AI83" s="340"/>
      <c r="AN83" s="340"/>
      <c r="AO83" s="340"/>
      <c r="AS83" s="340"/>
      <c r="AX83" s="340"/>
      <c r="BB83" s="340"/>
      <c r="BD83" s="339"/>
    </row>
    <row r="84" spans="7:56" s="338" customFormat="1">
      <c r="G84" s="340"/>
      <c r="L84" s="340"/>
      <c r="P84" s="340"/>
      <c r="U84" s="340"/>
      <c r="V84" s="340"/>
      <c r="Z84" s="340"/>
      <c r="AE84" s="340"/>
      <c r="AI84" s="340"/>
      <c r="AN84" s="340"/>
      <c r="AO84" s="340"/>
      <c r="AS84" s="340"/>
      <c r="AX84" s="340"/>
      <c r="BB84" s="340"/>
      <c r="BD84" s="339"/>
    </row>
    <row r="85" spans="7:56" s="338" customFormat="1">
      <c r="G85" s="340"/>
      <c r="L85" s="340"/>
      <c r="P85" s="340"/>
      <c r="U85" s="340"/>
      <c r="V85" s="340"/>
      <c r="Z85" s="340"/>
      <c r="AE85" s="340"/>
      <c r="AI85" s="340"/>
      <c r="AN85" s="340"/>
      <c r="AO85" s="340"/>
      <c r="AS85" s="340"/>
      <c r="AX85" s="340"/>
      <c r="BB85" s="340"/>
      <c r="BD85" s="339"/>
    </row>
    <row r="86" spans="7:56" s="338" customFormat="1">
      <c r="G86" s="340"/>
      <c r="L86" s="340"/>
      <c r="P86" s="340"/>
      <c r="U86" s="340"/>
      <c r="V86" s="340"/>
      <c r="Z86" s="340"/>
      <c r="AE86" s="340"/>
      <c r="AI86" s="340"/>
      <c r="AN86" s="340"/>
      <c r="AO86" s="340"/>
      <c r="AS86" s="340"/>
      <c r="AX86" s="340"/>
      <c r="BB86" s="340"/>
      <c r="BD86" s="339"/>
    </row>
    <row r="87" spans="7:56" s="338" customFormat="1">
      <c r="G87" s="340"/>
      <c r="L87" s="340"/>
      <c r="P87" s="340"/>
      <c r="U87" s="340"/>
      <c r="V87" s="340"/>
      <c r="Z87" s="340"/>
      <c r="AE87" s="340"/>
      <c r="AI87" s="340"/>
      <c r="AN87" s="340"/>
      <c r="AO87" s="340"/>
      <c r="AS87" s="340"/>
      <c r="AX87" s="340"/>
      <c r="BB87" s="340"/>
      <c r="BD87" s="339"/>
    </row>
    <row r="88" spans="7:56" s="338" customFormat="1">
      <c r="G88" s="340"/>
      <c r="L88" s="340"/>
      <c r="P88" s="340"/>
      <c r="U88" s="340"/>
      <c r="V88" s="340"/>
      <c r="Z88" s="340"/>
      <c r="AE88" s="340"/>
      <c r="AI88" s="340"/>
      <c r="AN88" s="340"/>
      <c r="AO88" s="340"/>
      <c r="AS88" s="340"/>
      <c r="AX88" s="340"/>
      <c r="BB88" s="340"/>
      <c r="BD88" s="339"/>
    </row>
    <row r="89" spans="7:56" s="338" customFormat="1">
      <c r="G89" s="340"/>
      <c r="L89" s="340"/>
      <c r="P89" s="340"/>
      <c r="U89" s="340"/>
      <c r="V89" s="340"/>
      <c r="Z89" s="340"/>
      <c r="AE89" s="340"/>
      <c r="AI89" s="340"/>
      <c r="AN89" s="340"/>
      <c r="AO89" s="340"/>
      <c r="AS89" s="340"/>
      <c r="AX89" s="340"/>
      <c r="BB89" s="340"/>
      <c r="BD89" s="339"/>
    </row>
    <row r="90" spans="7:56" s="338" customFormat="1">
      <c r="G90" s="340"/>
      <c r="L90" s="340"/>
      <c r="P90" s="340"/>
      <c r="U90" s="340"/>
      <c r="V90" s="340"/>
      <c r="Z90" s="340"/>
      <c r="AE90" s="340"/>
      <c r="AI90" s="340"/>
      <c r="AN90" s="340"/>
      <c r="AO90" s="340"/>
      <c r="AS90" s="340"/>
      <c r="AX90" s="340"/>
      <c r="BB90" s="340"/>
      <c r="BD90" s="339"/>
    </row>
    <row r="91" spans="7:56" s="338" customFormat="1">
      <c r="G91" s="340"/>
      <c r="L91" s="340"/>
      <c r="P91" s="340"/>
      <c r="U91" s="340"/>
      <c r="V91" s="340"/>
      <c r="Z91" s="340"/>
      <c r="AE91" s="340"/>
      <c r="AI91" s="340"/>
      <c r="AN91" s="340"/>
      <c r="AO91" s="340"/>
      <c r="AS91" s="340"/>
      <c r="AX91" s="340"/>
      <c r="BB91" s="340"/>
      <c r="BD91" s="339"/>
    </row>
    <row r="92" spans="7:56" s="338" customFormat="1">
      <c r="G92" s="340"/>
      <c r="L92" s="340"/>
      <c r="P92" s="340"/>
      <c r="U92" s="340"/>
      <c r="V92" s="340"/>
      <c r="Z92" s="340"/>
      <c r="AE92" s="340"/>
      <c r="AI92" s="340"/>
      <c r="AN92" s="340"/>
      <c r="AO92" s="340"/>
      <c r="AS92" s="340"/>
      <c r="AX92" s="340"/>
      <c r="BB92" s="340"/>
      <c r="BD92" s="339"/>
    </row>
    <row r="93" spans="7:56" s="338" customFormat="1">
      <c r="G93" s="340"/>
      <c r="L93" s="340"/>
      <c r="P93" s="340"/>
      <c r="U93" s="340"/>
      <c r="V93" s="340"/>
      <c r="Z93" s="340"/>
      <c r="AE93" s="340"/>
      <c r="AI93" s="340"/>
      <c r="AN93" s="340"/>
      <c r="AO93" s="340"/>
      <c r="AS93" s="340"/>
      <c r="AX93" s="340"/>
      <c r="BB93" s="340"/>
      <c r="BD93" s="339"/>
    </row>
    <row r="94" spans="7:56" s="338" customFormat="1">
      <c r="G94" s="340"/>
      <c r="L94" s="340"/>
      <c r="P94" s="340"/>
      <c r="U94" s="340"/>
      <c r="V94" s="340"/>
      <c r="Z94" s="340"/>
      <c r="AE94" s="340"/>
      <c r="AI94" s="340"/>
      <c r="AN94" s="340"/>
      <c r="AO94" s="340"/>
      <c r="AS94" s="340"/>
      <c r="AX94" s="340"/>
      <c r="BB94" s="340"/>
      <c r="BD94" s="339"/>
    </row>
    <row r="95" spans="7:56" s="338" customFormat="1">
      <c r="G95" s="340"/>
      <c r="L95" s="340"/>
      <c r="P95" s="340"/>
      <c r="U95" s="340"/>
      <c r="V95" s="340"/>
      <c r="Z95" s="340"/>
      <c r="AE95" s="340"/>
      <c r="AI95" s="340"/>
      <c r="AN95" s="340"/>
      <c r="AO95" s="340"/>
      <c r="AS95" s="340"/>
      <c r="AX95" s="340"/>
      <c r="BB95" s="340"/>
      <c r="BD95" s="339"/>
    </row>
    <row r="96" spans="7:56" s="338" customFormat="1">
      <c r="G96" s="340"/>
      <c r="L96" s="340"/>
      <c r="P96" s="340"/>
      <c r="U96" s="340"/>
      <c r="V96" s="340"/>
      <c r="Z96" s="340"/>
      <c r="AE96" s="340"/>
      <c r="AI96" s="340"/>
      <c r="AN96" s="340"/>
      <c r="AO96" s="340"/>
      <c r="AS96" s="340"/>
      <c r="AX96" s="340"/>
      <c r="BB96" s="340"/>
      <c r="BD96" s="339"/>
    </row>
    <row r="97" spans="7:56" s="338" customFormat="1">
      <c r="G97" s="340"/>
      <c r="L97" s="340"/>
      <c r="P97" s="340"/>
      <c r="U97" s="340"/>
      <c r="V97" s="340"/>
      <c r="Z97" s="340"/>
      <c r="AE97" s="340"/>
      <c r="AI97" s="340"/>
      <c r="AN97" s="340"/>
      <c r="AO97" s="340"/>
      <c r="AS97" s="340"/>
      <c r="AX97" s="340"/>
      <c r="BB97" s="340"/>
      <c r="BD97" s="339"/>
    </row>
    <row r="98" spans="7:56" s="338" customFormat="1">
      <c r="G98" s="340"/>
      <c r="L98" s="340"/>
      <c r="P98" s="340"/>
      <c r="U98" s="340"/>
      <c r="V98" s="340"/>
      <c r="Z98" s="340"/>
      <c r="AE98" s="340"/>
      <c r="AI98" s="340"/>
      <c r="AN98" s="340"/>
      <c r="AO98" s="340"/>
      <c r="AS98" s="340"/>
      <c r="AX98" s="340"/>
      <c r="BB98" s="340"/>
      <c r="BD98" s="339"/>
    </row>
    <row r="99" spans="7:56" s="338" customFormat="1">
      <c r="G99" s="340"/>
      <c r="L99" s="340"/>
      <c r="P99" s="340"/>
      <c r="U99" s="340"/>
      <c r="V99" s="340"/>
      <c r="Z99" s="340"/>
      <c r="AE99" s="340"/>
      <c r="AI99" s="340"/>
      <c r="AN99" s="340"/>
      <c r="AO99" s="340"/>
      <c r="AS99" s="340"/>
      <c r="AX99" s="340"/>
      <c r="BB99" s="340"/>
      <c r="BD99" s="339"/>
    </row>
    <row r="100" spans="7:56" s="338" customFormat="1">
      <c r="G100" s="340"/>
      <c r="L100" s="340"/>
      <c r="P100" s="340"/>
      <c r="U100" s="340"/>
      <c r="V100" s="340"/>
      <c r="Z100" s="340"/>
      <c r="AE100" s="340"/>
      <c r="AI100" s="340"/>
      <c r="AN100" s="340"/>
      <c r="AO100" s="340"/>
      <c r="AS100" s="340"/>
      <c r="AX100" s="340"/>
      <c r="BB100" s="340"/>
      <c r="BD100" s="339"/>
    </row>
    <row r="101" spans="7:56" s="338" customFormat="1">
      <c r="G101" s="340"/>
      <c r="L101" s="340"/>
      <c r="P101" s="340"/>
      <c r="U101" s="340"/>
      <c r="V101" s="340"/>
      <c r="Z101" s="340"/>
      <c r="AE101" s="340"/>
      <c r="AI101" s="340"/>
      <c r="AN101" s="340"/>
      <c r="AO101" s="340"/>
      <c r="AS101" s="340"/>
      <c r="AX101" s="340"/>
      <c r="BB101" s="340"/>
      <c r="BD101" s="339"/>
    </row>
    <row r="102" spans="7:56" s="338" customFormat="1">
      <c r="G102" s="340"/>
      <c r="L102" s="340"/>
      <c r="P102" s="340"/>
      <c r="U102" s="340"/>
      <c r="V102" s="340"/>
      <c r="Z102" s="340"/>
      <c r="AE102" s="340"/>
      <c r="AI102" s="340"/>
      <c r="AN102" s="340"/>
      <c r="AO102" s="340"/>
      <c r="AS102" s="340"/>
      <c r="AX102" s="340"/>
      <c r="BB102" s="340"/>
      <c r="BD102" s="339"/>
    </row>
    <row r="103" spans="7:56" s="338" customFormat="1">
      <c r="G103" s="340"/>
      <c r="L103" s="340"/>
      <c r="P103" s="340"/>
      <c r="U103" s="340"/>
      <c r="V103" s="340"/>
      <c r="Z103" s="340"/>
      <c r="AE103" s="340"/>
      <c r="AI103" s="340"/>
      <c r="AN103" s="340"/>
      <c r="AO103" s="340"/>
      <c r="AS103" s="340"/>
      <c r="AX103" s="340"/>
      <c r="BB103" s="340"/>
      <c r="BD103" s="339"/>
    </row>
    <row r="104" spans="7:56" s="338" customFormat="1">
      <c r="G104" s="340"/>
      <c r="L104" s="340"/>
      <c r="P104" s="340"/>
      <c r="U104" s="340"/>
      <c r="V104" s="340"/>
      <c r="Z104" s="340"/>
      <c r="AE104" s="340"/>
      <c r="AI104" s="340"/>
      <c r="AN104" s="340"/>
      <c r="AO104" s="340"/>
      <c r="AS104" s="340"/>
      <c r="AX104" s="340"/>
      <c r="BB104" s="340"/>
      <c r="BD104" s="339"/>
    </row>
    <row r="105" spans="7:56" s="338" customFormat="1">
      <c r="G105" s="340"/>
      <c r="L105" s="340"/>
      <c r="P105" s="340"/>
      <c r="U105" s="340"/>
      <c r="V105" s="340"/>
      <c r="Z105" s="340"/>
      <c r="AE105" s="340"/>
      <c r="AI105" s="340"/>
      <c r="AN105" s="340"/>
      <c r="AO105" s="340"/>
      <c r="AS105" s="340"/>
      <c r="AX105" s="340"/>
      <c r="BB105" s="340"/>
      <c r="BD105" s="339"/>
    </row>
    <row r="106" spans="7:56" s="338" customFormat="1">
      <c r="G106" s="340"/>
      <c r="L106" s="340"/>
      <c r="P106" s="340"/>
      <c r="U106" s="340"/>
      <c r="V106" s="340"/>
      <c r="Z106" s="340"/>
      <c r="AE106" s="340"/>
      <c r="AI106" s="340"/>
      <c r="AN106" s="340"/>
      <c r="AO106" s="340"/>
      <c r="AS106" s="340"/>
      <c r="AX106" s="340"/>
      <c r="BB106" s="340"/>
      <c r="BD106" s="339"/>
    </row>
    <row r="107" spans="7:56" s="338" customFormat="1">
      <c r="G107" s="340"/>
      <c r="L107" s="340"/>
      <c r="P107" s="340"/>
      <c r="U107" s="340"/>
      <c r="V107" s="340"/>
      <c r="Z107" s="340"/>
      <c r="AE107" s="340"/>
      <c r="AI107" s="340"/>
      <c r="AN107" s="340"/>
      <c r="AO107" s="340"/>
      <c r="AS107" s="340"/>
      <c r="AX107" s="340"/>
      <c r="BB107" s="340"/>
      <c r="BD107" s="339"/>
    </row>
    <row r="108" spans="7:56" s="338" customFormat="1">
      <c r="G108" s="340"/>
      <c r="L108" s="340"/>
      <c r="P108" s="340"/>
      <c r="U108" s="340"/>
      <c r="V108" s="340"/>
      <c r="Z108" s="340"/>
      <c r="AE108" s="340"/>
      <c r="AI108" s="340"/>
      <c r="AN108" s="340"/>
      <c r="AO108" s="340"/>
      <c r="AS108" s="340"/>
      <c r="AX108" s="340"/>
      <c r="BB108" s="340"/>
      <c r="BD108" s="339"/>
    </row>
    <row r="109" spans="7:56" s="338" customFormat="1">
      <c r="G109" s="340"/>
      <c r="L109" s="340"/>
      <c r="P109" s="340"/>
      <c r="U109" s="340"/>
      <c r="V109" s="340"/>
      <c r="Z109" s="340"/>
      <c r="AE109" s="340"/>
      <c r="AI109" s="340"/>
      <c r="AN109" s="340"/>
      <c r="AO109" s="340"/>
      <c r="AS109" s="340"/>
      <c r="AX109" s="340"/>
      <c r="BB109" s="340"/>
      <c r="BD109" s="339"/>
    </row>
    <row r="110" spans="7:56" s="338" customFormat="1">
      <c r="G110" s="340"/>
      <c r="L110" s="340"/>
      <c r="P110" s="340"/>
      <c r="U110" s="340"/>
      <c r="V110" s="340"/>
      <c r="Z110" s="340"/>
      <c r="AE110" s="340"/>
      <c r="AI110" s="340"/>
      <c r="AN110" s="340"/>
      <c r="AO110" s="340"/>
      <c r="AS110" s="340"/>
      <c r="AX110" s="340"/>
      <c r="BB110" s="340"/>
      <c r="BD110" s="339"/>
    </row>
    <row r="111" spans="7:56" s="338" customFormat="1">
      <c r="G111" s="340"/>
      <c r="L111" s="340"/>
      <c r="P111" s="340"/>
      <c r="U111" s="340"/>
      <c r="V111" s="340"/>
      <c r="Z111" s="340"/>
      <c r="AE111" s="340"/>
      <c r="AI111" s="340"/>
      <c r="AN111" s="340"/>
      <c r="AO111" s="340"/>
      <c r="AS111" s="340"/>
      <c r="AX111" s="340"/>
      <c r="BB111" s="340"/>
      <c r="BD111" s="339"/>
    </row>
    <row r="112" spans="7:56" s="338" customFormat="1">
      <c r="G112" s="340"/>
      <c r="L112" s="340"/>
      <c r="P112" s="340"/>
      <c r="U112" s="340"/>
      <c r="V112" s="340"/>
      <c r="Z112" s="340"/>
      <c r="AE112" s="340"/>
      <c r="AI112" s="340"/>
      <c r="AN112" s="340"/>
      <c r="AO112" s="340"/>
      <c r="AS112" s="340"/>
      <c r="AX112" s="340"/>
      <c r="BB112" s="340"/>
      <c r="BD112" s="339"/>
    </row>
    <row r="113" spans="7:56" s="338" customFormat="1">
      <c r="G113" s="340"/>
      <c r="L113" s="340"/>
      <c r="P113" s="340"/>
      <c r="U113" s="340"/>
      <c r="V113" s="340"/>
      <c r="Z113" s="340"/>
      <c r="AE113" s="340"/>
      <c r="AI113" s="340"/>
      <c r="AN113" s="340"/>
      <c r="AO113" s="340"/>
      <c r="AS113" s="340"/>
      <c r="AX113" s="340"/>
      <c r="BB113" s="340"/>
      <c r="BD113" s="339"/>
    </row>
    <row r="114" spans="7:56" s="338" customFormat="1">
      <c r="G114" s="340"/>
      <c r="L114" s="340"/>
      <c r="P114" s="340"/>
      <c r="U114" s="340"/>
      <c r="V114" s="340"/>
      <c r="Z114" s="340"/>
      <c r="AE114" s="340"/>
      <c r="AI114" s="340"/>
      <c r="AN114" s="340"/>
      <c r="AO114" s="340"/>
      <c r="AS114" s="340"/>
      <c r="AX114" s="340"/>
      <c r="BB114" s="340"/>
      <c r="BD114" s="339"/>
    </row>
    <row r="115" spans="7:56" s="338" customFormat="1">
      <c r="G115" s="340"/>
      <c r="L115" s="340"/>
      <c r="P115" s="340"/>
      <c r="U115" s="340"/>
      <c r="V115" s="340"/>
      <c r="Z115" s="340"/>
      <c r="AE115" s="340"/>
      <c r="AI115" s="340"/>
      <c r="AN115" s="340"/>
      <c r="AO115" s="340"/>
      <c r="AS115" s="340"/>
      <c r="AX115" s="340"/>
      <c r="BB115" s="340"/>
      <c r="BD115" s="339"/>
    </row>
    <row r="116" spans="7:56" s="338" customFormat="1">
      <c r="G116" s="340"/>
      <c r="L116" s="340"/>
      <c r="P116" s="340"/>
      <c r="U116" s="340"/>
      <c r="V116" s="340"/>
      <c r="Z116" s="340"/>
      <c r="AE116" s="340"/>
      <c r="AI116" s="340"/>
      <c r="AN116" s="340"/>
      <c r="AO116" s="340"/>
      <c r="AS116" s="340"/>
      <c r="AX116" s="340"/>
      <c r="BB116" s="340"/>
      <c r="BD116" s="339"/>
    </row>
    <row r="117" spans="7:56" s="338" customFormat="1">
      <c r="G117" s="340"/>
      <c r="L117" s="340"/>
      <c r="P117" s="340"/>
      <c r="U117" s="340"/>
      <c r="V117" s="340"/>
      <c r="Z117" s="340"/>
      <c r="AE117" s="340"/>
      <c r="AI117" s="340"/>
      <c r="AN117" s="340"/>
      <c r="AO117" s="340"/>
      <c r="AS117" s="340"/>
      <c r="AX117" s="340"/>
      <c r="BB117" s="340"/>
      <c r="BD117" s="339"/>
    </row>
    <row r="118" spans="7:56" s="338" customFormat="1">
      <c r="G118" s="340"/>
      <c r="L118" s="340"/>
      <c r="P118" s="340"/>
      <c r="U118" s="340"/>
      <c r="V118" s="340"/>
      <c r="Z118" s="340"/>
      <c r="AE118" s="340"/>
      <c r="AI118" s="340"/>
      <c r="AN118" s="340"/>
      <c r="AO118" s="340"/>
      <c r="AS118" s="340"/>
      <c r="AX118" s="340"/>
      <c r="BB118" s="340"/>
      <c r="BD118" s="339"/>
    </row>
    <row r="119" spans="7:56" s="338" customFormat="1">
      <c r="G119" s="340"/>
      <c r="L119" s="340"/>
      <c r="P119" s="340"/>
      <c r="U119" s="340"/>
      <c r="V119" s="340"/>
      <c r="Z119" s="340"/>
      <c r="AE119" s="340"/>
      <c r="AI119" s="340"/>
      <c r="AN119" s="340"/>
      <c r="AO119" s="340"/>
      <c r="AS119" s="340"/>
      <c r="AX119" s="340"/>
      <c r="BB119" s="340"/>
      <c r="BD119" s="339"/>
    </row>
    <row r="120" spans="7:56" s="338" customFormat="1">
      <c r="G120" s="340"/>
      <c r="L120" s="340"/>
      <c r="P120" s="340"/>
      <c r="U120" s="340"/>
      <c r="V120" s="340"/>
      <c r="Z120" s="340"/>
      <c r="AE120" s="340"/>
      <c r="AI120" s="340"/>
      <c r="AN120" s="340"/>
      <c r="AO120" s="340"/>
      <c r="AS120" s="340"/>
      <c r="AX120" s="340"/>
      <c r="BB120" s="340"/>
      <c r="BD120" s="339"/>
    </row>
    <row r="121" spans="7:56" s="338" customFormat="1">
      <c r="G121" s="340"/>
      <c r="L121" s="340"/>
      <c r="P121" s="340"/>
      <c r="U121" s="340"/>
      <c r="V121" s="340"/>
      <c r="Z121" s="340"/>
      <c r="AE121" s="340"/>
      <c r="AI121" s="340"/>
      <c r="AN121" s="340"/>
      <c r="AO121" s="340"/>
      <c r="AS121" s="340"/>
      <c r="AX121" s="340"/>
      <c r="BB121" s="340"/>
      <c r="BD121" s="339"/>
    </row>
    <row r="122" spans="7:56" s="338" customFormat="1">
      <c r="G122" s="340"/>
      <c r="L122" s="340"/>
      <c r="P122" s="340"/>
      <c r="U122" s="340"/>
      <c r="V122" s="340"/>
      <c r="Z122" s="340"/>
      <c r="AE122" s="340"/>
      <c r="AI122" s="340"/>
      <c r="AN122" s="340"/>
      <c r="AO122" s="340"/>
      <c r="AS122" s="340"/>
      <c r="AX122" s="340"/>
      <c r="BB122" s="340"/>
      <c r="BD122" s="339"/>
    </row>
    <row r="123" spans="7:56" s="338" customFormat="1">
      <c r="G123" s="340"/>
      <c r="L123" s="340"/>
      <c r="P123" s="340"/>
      <c r="U123" s="340"/>
      <c r="V123" s="340"/>
      <c r="Z123" s="340"/>
      <c r="AE123" s="340"/>
      <c r="AI123" s="340"/>
      <c r="AN123" s="340"/>
      <c r="AO123" s="340"/>
      <c r="AS123" s="340"/>
      <c r="AX123" s="340"/>
      <c r="BB123" s="340"/>
      <c r="BD123" s="339"/>
    </row>
    <row r="124" spans="7:56" s="338" customFormat="1">
      <c r="G124" s="340"/>
      <c r="L124" s="340"/>
      <c r="P124" s="340"/>
      <c r="U124" s="340"/>
      <c r="V124" s="340"/>
      <c r="Z124" s="340"/>
      <c r="AE124" s="340"/>
      <c r="AI124" s="340"/>
      <c r="AN124" s="340"/>
      <c r="AO124" s="340"/>
      <c r="AS124" s="340"/>
      <c r="AX124" s="340"/>
      <c r="BB124" s="340"/>
      <c r="BD124" s="339"/>
    </row>
    <row r="125" spans="7:56" s="338" customFormat="1">
      <c r="G125" s="340"/>
      <c r="L125" s="340"/>
      <c r="P125" s="340"/>
      <c r="U125" s="340"/>
      <c r="V125" s="340"/>
      <c r="Z125" s="340"/>
      <c r="AE125" s="340"/>
      <c r="AI125" s="340"/>
      <c r="AN125" s="340"/>
      <c r="AO125" s="340"/>
      <c r="AS125" s="340"/>
      <c r="AX125" s="340"/>
      <c r="BB125" s="340"/>
      <c r="BD125" s="339"/>
    </row>
    <row r="126" spans="7:56" s="338" customFormat="1">
      <c r="G126" s="340"/>
      <c r="L126" s="340"/>
      <c r="P126" s="340"/>
      <c r="U126" s="340"/>
      <c r="V126" s="340"/>
      <c r="Z126" s="340"/>
      <c r="AE126" s="340"/>
      <c r="AI126" s="340"/>
      <c r="AN126" s="340"/>
      <c r="AO126" s="340"/>
      <c r="AS126" s="340"/>
      <c r="AX126" s="340"/>
      <c r="BB126" s="340"/>
      <c r="BD126" s="339"/>
    </row>
    <row r="127" spans="7:56" s="338" customFormat="1">
      <c r="G127" s="340"/>
      <c r="L127" s="340"/>
      <c r="P127" s="340"/>
      <c r="U127" s="340"/>
      <c r="V127" s="340"/>
      <c r="Z127" s="340"/>
      <c r="AE127" s="340"/>
      <c r="AI127" s="340"/>
      <c r="AN127" s="340"/>
      <c r="AO127" s="340"/>
      <c r="AS127" s="340"/>
      <c r="AX127" s="340"/>
      <c r="BB127" s="340"/>
      <c r="BD127" s="339"/>
    </row>
    <row r="128" spans="7:56" s="338" customFormat="1">
      <c r="G128" s="340"/>
      <c r="L128" s="340"/>
      <c r="P128" s="340"/>
      <c r="U128" s="340"/>
      <c r="V128" s="340"/>
      <c r="Z128" s="340"/>
      <c r="AE128" s="340"/>
      <c r="AI128" s="340"/>
      <c r="AN128" s="340"/>
      <c r="AO128" s="340"/>
      <c r="AS128" s="340"/>
      <c r="AX128" s="340"/>
      <c r="BB128" s="340"/>
      <c r="BD128" s="339"/>
    </row>
    <row r="129" spans="7:56" s="338" customFormat="1">
      <c r="G129" s="340"/>
      <c r="L129" s="340"/>
      <c r="P129" s="340"/>
      <c r="U129" s="340"/>
      <c r="V129" s="340"/>
      <c r="Z129" s="340"/>
      <c r="AE129" s="340"/>
      <c r="AI129" s="340"/>
      <c r="AN129" s="340"/>
      <c r="AO129" s="340"/>
      <c r="AS129" s="340"/>
      <c r="AX129" s="340"/>
      <c r="BB129" s="340"/>
      <c r="BD129" s="339"/>
    </row>
    <row r="130" spans="7:56" s="338" customFormat="1">
      <c r="G130" s="340"/>
      <c r="L130" s="340"/>
      <c r="P130" s="340"/>
      <c r="U130" s="340"/>
      <c r="V130" s="340"/>
      <c r="Z130" s="340"/>
      <c r="AE130" s="340"/>
      <c r="AI130" s="340"/>
      <c r="AN130" s="340"/>
      <c r="AO130" s="340"/>
      <c r="AS130" s="340"/>
      <c r="AX130" s="340"/>
      <c r="BB130" s="340"/>
      <c r="BD130" s="339"/>
    </row>
    <row r="131" spans="7:56" s="338" customFormat="1">
      <c r="G131" s="340"/>
      <c r="L131" s="340"/>
      <c r="P131" s="340"/>
      <c r="U131" s="340"/>
      <c r="V131" s="340"/>
      <c r="Z131" s="340"/>
      <c r="AE131" s="340"/>
      <c r="AI131" s="340"/>
      <c r="AN131" s="340"/>
      <c r="AO131" s="340"/>
      <c r="AS131" s="340"/>
      <c r="AX131" s="340"/>
      <c r="BB131" s="340"/>
      <c r="BD131" s="339"/>
    </row>
    <row r="132" spans="7:56" s="338" customFormat="1">
      <c r="G132" s="340"/>
      <c r="L132" s="340"/>
      <c r="P132" s="340"/>
      <c r="U132" s="340"/>
      <c r="V132" s="340"/>
      <c r="Z132" s="340"/>
      <c r="AE132" s="340"/>
      <c r="AI132" s="340"/>
      <c r="AN132" s="340"/>
      <c r="AO132" s="340"/>
      <c r="AS132" s="340"/>
      <c r="AX132" s="340"/>
      <c r="BB132" s="340"/>
      <c r="BD132" s="339"/>
    </row>
    <row r="133" spans="7:56" s="338" customFormat="1">
      <c r="G133" s="340"/>
      <c r="L133" s="340"/>
      <c r="P133" s="340"/>
      <c r="U133" s="340"/>
      <c r="V133" s="340"/>
      <c r="Z133" s="340"/>
      <c r="AE133" s="340"/>
      <c r="AI133" s="340"/>
      <c r="AN133" s="340"/>
      <c r="AO133" s="340"/>
      <c r="AS133" s="340"/>
      <c r="AX133" s="340"/>
      <c r="BB133" s="340"/>
      <c r="BD133" s="339"/>
    </row>
    <row r="134" spans="7:56" s="338" customFormat="1">
      <c r="G134" s="340"/>
      <c r="L134" s="340"/>
      <c r="P134" s="340"/>
      <c r="U134" s="340"/>
      <c r="V134" s="340"/>
      <c r="Z134" s="340"/>
      <c r="AE134" s="340"/>
      <c r="AI134" s="340"/>
      <c r="AN134" s="340"/>
      <c r="AO134" s="340"/>
      <c r="AS134" s="340"/>
      <c r="AX134" s="340"/>
      <c r="BB134" s="340"/>
      <c r="BD134" s="339"/>
    </row>
    <row r="135" spans="7:56" s="338" customFormat="1">
      <c r="G135" s="340"/>
      <c r="L135" s="340"/>
      <c r="P135" s="340"/>
      <c r="U135" s="340"/>
      <c r="V135" s="340"/>
      <c r="Z135" s="340"/>
      <c r="AE135" s="340"/>
      <c r="AI135" s="340"/>
      <c r="AN135" s="340"/>
      <c r="AO135" s="340"/>
      <c r="AS135" s="340"/>
      <c r="AX135" s="340"/>
      <c r="BB135" s="340"/>
      <c r="BD135" s="339"/>
    </row>
    <row r="136" spans="7:56" s="338" customFormat="1">
      <c r="G136" s="340"/>
      <c r="L136" s="340"/>
      <c r="P136" s="340"/>
      <c r="U136" s="340"/>
      <c r="V136" s="340"/>
      <c r="Z136" s="340"/>
      <c r="AE136" s="340"/>
      <c r="AI136" s="340"/>
      <c r="AN136" s="340"/>
      <c r="AO136" s="340"/>
      <c r="AS136" s="340"/>
      <c r="AX136" s="340"/>
      <c r="BB136" s="340"/>
      <c r="BD136" s="339"/>
    </row>
    <row r="137" spans="7:56" s="338" customFormat="1">
      <c r="G137" s="340"/>
      <c r="L137" s="340"/>
      <c r="P137" s="340"/>
      <c r="U137" s="340"/>
      <c r="V137" s="340"/>
      <c r="Z137" s="340"/>
      <c r="AE137" s="340"/>
      <c r="AI137" s="340"/>
      <c r="AN137" s="340"/>
      <c r="AO137" s="340"/>
      <c r="AS137" s="340"/>
      <c r="AX137" s="340"/>
      <c r="BB137" s="340"/>
      <c r="BD137" s="339"/>
    </row>
    <row r="138" spans="7:56" s="338" customFormat="1">
      <c r="G138" s="340"/>
      <c r="L138" s="340"/>
      <c r="P138" s="340"/>
      <c r="U138" s="340"/>
      <c r="V138" s="340"/>
      <c r="Z138" s="340"/>
      <c r="AE138" s="340"/>
      <c r="AI138" s="340"/>
      <c r="AN138" s="340"/>
      <c r="AO138" s="340"/>
      <c r="AS138" s="340"/>
      <c r="AX138" s="340"/>
      <c r="BB138" s="340"/>
      <c r="BD138" s="339"/>
    </row>
    <row r="139" spans="7:56" s="338" customFormat="1">
      <c r="G139" s="340"/>
      <c r="L139" s="340"/>
      <c r="P139" s="340"/>
      <c r="U139" s="340"/>
      <c r="V139" s="340"/>
      <c r="Z139" s="340"/>
      <c r="AE139" s="340"/>
      <c r="AI139" s="340"/>
      <c r="AN139" s="340"/>
      <c r="AO139" s="340"/>
      <c r="AS139" s="340"/>
      <c r="AX139" s="340"/>
      <c r="BB139" s="340"/>
      <c r="BD139" s="339"/>
    </row>
    <row r="140" spans="7:56" s="338" customFormat="1">
      <c r="G140" s="340"/>
      <c r="L140" s="340"/>
      <c r="P140" s="340"/>
      <c r="U140" s="340"/>
      <c r="V140" s="340"/>
      <c r="Z140" s="340"/>
      <c r="AE140" s="340"/>
      <c r="AI140" s="340"/>
      <c r="AN140" s="340"/>
      <c r="AO140" s="340"/>
      <c r="AS140" s="340"/>
      <c r="AX140" s="340"/>
      <c r="BB140" s="340"/>
      <c r="BD140" s="339"/>
    </row>
    <row r="141" spans="7:56" s="338" customFormat="1">
      <c r="G141" s="340"/>
      <c r="L141" s="340"/>
      <c r="P141" s="340"/>
      <c r="U141" s="340"/>
      <c r="V141" s="340"/>
      <c r="Z141" s="340"/>
      <c r="AE141" s="340"/>
      <c r="AI141" s="340"/>
      <c r="AN141" s="340"/>
      <c r="AO141" s="340"/>
      <c r="AS141" s="340"/>
      <c r="AX141" s="340"/>
      <c r="BB141" s="340"/>
      <c r="BD141" s="339"/>
    </row>
    <row r="142" spans="7:56" s="338" customFormat="1">
      <c r="G142" s="340"/>
      <c r="L142" s="340"/>
      <c r="P142" s="340"/>
      <c r="U142" s="340"/>
      <c r="V142" s="340"/>
      <c r="Z142" s="340"/>
      <c r="AE142" s="340"/>
      <c r="AI142" s="340"/>
      <c r="AN142" s="340"/>
      <c r="AO142" s="340"/>
      <c r="AS142" s="340"/>
      <c r="AX142" s="340"/>
      <c r="BB142" s="340"/>
      <c r="BD142" s="339"/>
    </row>
    <row r="143" spans="7:56" s="338" customFormat="1">
      <c r="G143" s="340"/>
      <c r="L143" s="340"/>
      <c r="P143" s="340"/>
      <c r="U143" s="340"/>
      <c r="V143" s="340"/>
      <c r="Z143" s="340"/>
      <c r="AE143" s="340"/>
      <c r="AI143" s="340"/>
      <c r="AN143" s="340"/>
      <c r="AO143" s="340"/>
      <c r="AS143" s="340"/>
      <c r="AX143" s="340"/>
      <c r="BB143" s="340"/>
      <c r="BD143" s="339"/>
    </row>
    <row r="144" spans="7:56" s="338" customFormat="1">
      <c r="G144" s="340"/>
      <c r="L144" s="340"/>
      <c r="P144" s="340"/>
      <c r="U144" s="340"/>
      <c r="V144" s="340"/>
      <c r="Z144" s="340"/>
      <c r="AE144" s="340"/>
      <c r="AI144" s="340"/>
      <c r="AN144" s="340"/>
      <c r="AO144" s="340"/>
      <c r="AS144" s="340"/>
      <c r="AX144" s="340"/>
      <c r="BB144" s="340"/>
      <c r="BD144" s="339"/>
    </row>
    <row r="145" spans="7:56" s="338" customFormat="1">
      <c r="G145" s="340"/>
      <c r="L145" s="340"/>
      <c r="P145" s="340"/>
      <c r="U145" s="340"/>
      <c r="V145" s="340"/>
      <c r="Z145" s="340"/>
      <c r="AE145" s="340"/>
      <c r="AI145" s="340"/>
      <c r="AN145" s="340"/>
      <c r="AO145" s="340"/>
      <c r="AS145" s="340"/>
      <c r="AX145" s="340"/>
      <c r="BB145" s="340"/>
      <c r="BD145" s="339"/>
    </row>
    <row r="146" spans="7:56" s="338" customFormat="1">
      <c r="G146" s="340"/>
      <c r="L146" s="340"/>
      <c r="P146" s="340"/>
      <c r="U146" s="340"/>
      <c r="V146" s="340"/>
      <c r="Z146" s="340"/>
      <c r="AE146" s="340"/>
      <c r="AI146" s="340"/>
      <c r="AN146" s="340"/>
      <c r="AO146" s="340"/>
      <c r="AS146" s="340"/>
      <c r="AX146" s="340"/>
      <c r="BB146" s="340"/>
      <c r="BD146" s="339"/>
    </row>
    <row r="147" spans="7:56" s="338" customFormat="1">
      <c r="G147" s="340"/>
      <c r="L147" s="340"/>
      <c r="P147" s="340"/>
      <c r="U147" s="340"/>
      <c r="V147" s="340"/>
      <c r="Z147" s="340"/>
      <c r="AE147" s="340"/>
      <c r="AI147" s="340"/>
      <c r="AN147" s="340"/>
      <c r="AO147" s="340"/>
      <c r="AS147" s="340"/>
      <c r="AX147" s="340"/>
      <c r="BB147" s="340"/>
      <c r="BD147" s="339"/>
    </row>
    <row r="148" spans="7:56" s="338" customFormat="1">
      <c r="G148" s="340"/>
      <c r="L148" s="340"/>
      <c r="P148" s="340"/>
      <c r="U148" s="340"/>
      <c r="V148" s="340"/>
      <c r="Z148" s="340"/>
      <c r="AE148" s="340"/>
      <c r="AI148" s="340"/>
      <c r="AN148" s="340"/>
      <c r="AO148" s="340"/>
      <c r="AS148" s="340"/>
      <c r="AX148" s="340"/>
      <c r="BB148" s="340"/>
      <c r="BD148" s="339"/>
    </row>
    <row r="149" spans="7:56" s="338" customFormat="1">
      <c r="G149" s="340"/>
      <c r="L149" s="340"/>
      <c r="P149" s="340"/>
      <c r="U149" s="340"/>
      <c r="V149" s="340"/>
      <c r="Z149" s="340"/>
      <c r="AE149" s="340"/>
      <c r="AI149" s="340"/>
      <c r="AN149" s="340"/>
      <c r="AO149" s="340"/>
      <c r="AS149" s="340"/>
      <c r="AX149" s="340"/>
      <c r="BB149" s="340"/>
      <c r="BD149" s="339"/>
    </row>
    <row r="150" spans="7:56" s="338" customFormat="1">
      <c r="G150" s="340"/>
      <c r="L150" s="340"/>
      <c r="P150" s="340"/>
      <c r="U150" s="340"/>
      <c r="V150" s="340"/>
      <c r="Z150" s="340"/>
      <c r="AE150" s="340"/>
      <c r="AI150" s="340"/>
      <c r="AN150" s="340"/>
      <c r="AO150" s="340"/>
      <c r="AS150" s="340"/>
      <c r="AX150" s="340"/>
      <c r="BB150" s="340"/>
      <c r="BD150" s="339"/>
    </row>
    <row r="151" spans="7:56" s="338" customFormat="1">
      <c r="G151" s="340"/>
      <c r="L151" s="340"/>
      <c r="P151" s="340"/>
      <c r="U151" s="340"/>
      <c r="V151" s="340"/>
      <c r="Z151" s="340"/>
      <c r="AE151" s="340"/>
      <c r="AI151" s="340"/>
      <c r="AN151" s="340"/>
      <c r="AO151" s="340"/>
      <c r="AS151" s="340"/>
      <c r="AX151" s="340"/>
      <c r="BB151" s="340"/>
      <c r="BD151" s="339"/>
    </row>
    <row r="152" spans="7:56" s="338" customFormat="1">
      <c r="G152" s="340"/>
      <c r="L152" s="340"/>
      <c r="P152" s="340"/>
      <c r="U152" s="340"/>
      <c r="V152" s="340"/>
      <c r="Z152" s="340"/>
      <c r="AE152" s="340"/>
      <c r="AI152" s="340"/>
      <c r="AN152" s="340"/>
      <c r="AO152" s="340"/>
      <c r="AS152" s="340"/>
      <c r="AX152" s="340"/>
      <c r="BB152" s="340"/>
      <c r="BD152" s="339"/>
    </row>
    <row r="153" spans="7:56" s="338" customFormat="1">
      <c r="G153" s="340"/>
      <c r="L153" s="340"/>
      <c r="P153" s="340"/>
      <c r="U153" s="340"/>
      <c r="V153" s="340"/>
      <c r="Z153" s="340"/>
      <c r="AE153" s="340"/>
      <c r="AI153" s="340"/>
      <c r="AN153" s="340"/>
      <c r="AO153" s="340"/>
      <c r="AS153" s="340"/>
      <c r="AX153" s="340"/>
      <c r="BB153" s="340"/>
      <c r="BD153" s="339"/>
    </row>
    <row r="154" spans="7:56" s="338" customFormat="1">
      <c r="G154" s="340"/>
      <c r="L154" s="340"/>
      <c r="P154" s="340"/>
      <c r="U154" s="340"/>
      <c r="V154" s="340"/>
      <c r="Z154" s="340"/>
      <c r="AE154" s="340"/>
      <c r="AI154" s="340"/>
      <c r="AN154" s="340"/>
      <c r="AO154" s="340"/>
      <c r="AS154" s="340"/>
      <c r="AX154" s="340"/>
      <c r="BB154" s="340"/>
      <c r="BD154" s="339"/>
    </row>
    <row r="155" spans="7:56" s="338" customFormat="1">
      <c r="G155" s="340"/>
      <c r="L155" s="340"/>
      <c r="P155" s="340"/>
      <c r="U155" s="340"/>
      <c r="V155" s="340"/>
      <c r="Z155" s="340"/>
      <c r="AE155" s="340"/>
      <c r="AI155" s="340"/>
      <c r="AN155" s="340"/>
      <c r="AO155" s="340"/>
      <c r="AS155" s="340"/>
      <c r="AX155" s="340"/>
      <c r="BB155" s="340"/>
      <c r="BD155" s="339"/>
    </row>
    <row r="156" spans="7:56" s="338" customFormat="1">
      <c r="G156" s="340"/>
      <c r="L156" s="340"/>
      <c r="P156" s="340"/>
      <c r="U156" s="340"/>
      <c r="V156" s="340"/>
      <c r="Z156" s="340"/>
      <c r="AE156" s="340"/>
      <c r="AI156" s="340"/>
      <c r="AN156" s="340"/>
      <c r="AO156" s="340"/>
      <c r="AS156" s="340"/>
      <c r="AX156" s="340"/>
      <c r="BB156" s="340"/>
      <c r="BD156" s="339"/>
    </row>
    <row r="157" spans="7:56" s="338" customFormat="1">
      <c r="G157" s="340"/>
      <c r="L157" s="340"/>
      <c r="P157" s="340"/>
      <c r="U157" s="340"/>
      <c r="V157" s="340"/>
      <c r="Z157" s="340"/>
      <c r="AE157" s="340"/>
      <c r="AI157" s="340"/>
      <c r="AN157" s="340"/>
      <c r="AO157" s="340"/>
      <c r="AS157" s="340"/>
      <c r="AX157" s="340"/>
      <c r="BB157" s="340"/>
      <c r="BD157" s="339"/>
    </row>
    <row r="158" spans="7:56" s="338" customFormat="1">
      <c r="G158" s="340"/>
      <c r="L158" s="340"/>
      <c r="P158" s="340"/>
      <c r="U158" s="340"/>
      <c r="V158" s="340"/>
      <c r="Z158" s="340"/>
      <c r="AE158" s="340"/>
      <c r="AI158" s="340"/>
      <c r="AN158" s="340"/>
      <c r="AO158" s="340"/>
      <c r="AS158" s="340"/>
      <c r="AX158" s="340"/>
      <c r="BB158" s="340"/>
      <c r="BD158" s="339"/>
    </row>
    <row r="159" spans="7:56" s="338" customFormat="1">
      <c r="G159" s="340"/>
      <c r="L159" s="340"/>
      <c r="P159" s="340"/>
      <c r="U159" s="340"/>
      <c r="V159" s="340"/>
      <c r="Z159" s="340"/>
      <c r="AE159" s="340"/>
      <c r="AI159" s="340"/>
      <c r="AN159" s="340"/>
      <c r="AO159" s="340"/>
      <c r="AS159" s="340"/>
      <c r="AX159" s="340"/>
      <c r="BB159" s="340"/>
      <c r="BD159" s="339"/>
    </row>
    <row r="160" spans="7:56" s="338" customFormat="1">
      <c r="G160" s="340"/>
      <c r="L160" s="340"/>
      <c r="P160" s="340"/>
      <c r="U160" s="340"/>
      <c r="V160" s="340"/>
      <c r="Z160" s="340"/>
      <c r="AE160" s="340"/>
      <c r="AI160" s="340"/>
      <c r="AN160" s="340"/>
      <c r="AO160" s="340"/>
      <c r="AS160" s="340"/>
      <c r="AX160" s="340"/>
      <c r="BB160" s="340"/>
      <c r="BD160" s="339"/>
    </row>
    <row r="161" spans="7:56" s="338" customFormat="1">
      <c r="G161" s="340"/>
      <c r="L161" s="340"/>
      <c r="P161" s="340"/>
      <c r="U161" s="340"/>
      <c r="V161" s="340"/>
      <c r="Z161" s="340"/>
      <c r="AE161" s="340"/>
      <c r="AI161" s="340"/>
      <c r="AN161" s="340"/>
      <c r="AO161" s="340"/>
      <c r="AS161" s="340"/>
      <c r="AX161" s="340"/>
      <c r="BB161" s="340"/>
      <c r="BD161" s="339"/>
    </row>
    <row r="162" spans="7:56" s="338" customFormat="1">
      <c r="G162" s="340"/>
      <c r="L162" s="340"/>
      <c r="P162" s="340"/>
      <c r="U162" s="340"/>
      <c r="V162" s="340"/>
      <c r="Z162" s="340"/>
      <c r="AE162" s="340"/>
      <c r="AI162" s="340"/>
      <c r="AN162" s="340"/>
      <c r="AO162" s="340"/>
      <c r="AS162" s="340"/>
      <c r="AX162" s="340"/>
      <c r="BB162" s="340"/>
      <c r="BD162" s="339"/>
    </row>
    <row r="163" spans="7:56" s="338" customFormat="1">
      <c r="G163" s="340"/>
      <c r="L163" s="340"/>
      <c r="P163" s="340"/>
      <c r="U163" s="340"/>
      <c r="V163" s="340"/>
      <c r="Z163" s="340"/>
      <c r="AE163" s="340"/>
      <c r="AI163" s="340"/>
      <c r="AN163" s="340"/>
      <c r="AO163" s="340"/>
      <c r="AS163" s="340"/>
      <c r="AX163" s="340"/>
      <c r="BB163" s="340"/>
      <c r="BD163" s="339"/>
    </row>
    <row r="164" spans="7:56" s="338" customFormat="1">
      <c r="G164" s="340"/>
      <c r="L164" s="340"/>
      <c r="P164" s="340"/>
      <c r="U164" s="340"/>
      <c r="V164" s="340"/>
      <c r="Z164" s="340"/>
      <c r="AE164" s="340"/>
      <c r="AI164" s="340"/>
      <c r="AN164" s="340"/>
      <c r="AO164" s="340"/>
      <c r="AS164" s="340"/>
      <c r="AX164" s="340"/>
      <c r="BB164" s="340"/>
      <c r="BD164" s="339"/>
    </row>
    <row r="165" spans="7:56" s="338" customFormat="1">
      <c r="G165" s="340"/>
      <c r="L165" s="340"/>
      <c r="P165" s="340"/>
      <c r="U165" s="340"/>
      <c r="V165" s="340"/>
      <c r="Z165" s="340"/>
      <c r="AE165" s="340"/>
      <c r="AI165" s="340"/>
      <c r="AN165" s="340"/>
      <c r="AO165" s="340"/>
      <c r="AS165" s="340"/>
      <c r="AX165" s="340"/>
      <c r="BB165" s="340"/>
      <c r="BD165" s="339"/>
    </row>
    <row r="166" spans="7:56" s="338" customFormat="1">
      <c r="G166" s="340"/>
      <c r="L166" s="340"/>
      <c r="P166" s="340"/>
      <c r="U166" s="340"/>
      <c r="V166" s="340"/>
      <c r="Z166" s="340"/>
      <c r="AE166" s="340"/>
      <c r="AI166" s="340"/>
      <c r="AN166" s="340"/>
      <c r="AO166" s="340"/>
      <c r="AS166" s="340"/>
      <c r="AX166" s="340"/>
      <c r="BB166" s="340"/>
      <c r="BD166" s="339"/>
    </row>
    <row r="167" spans="7:56" s="338" customFormat="1">
      <c r="G167" s="340"/>
      <c r="L167" s="340"/>
      <c r="P167" s="340"/>
      <c r="U167" s="340"/>
      <c r="V167" s="340"/>
      <c r="Z167" s="340"/>
      <c r="AE167" s="340"/>
      <c r="AI167" s="340"/>
      <c r="AN167" s="340"/>
      <c r="AO167" s="340"/>
      <c r="AS167" s="340"/>
      <c r="AX167" s="340"/>
      <c r="BB167" s="340"/>
      <c r="BD167" s="339"/>
    </row>
    <row r="168" spans="7:56" s="338" customFormat="1">
      <c r="G168" s="340"/>
      <c r="L168" s="340"/>
      <c r="P168" s="340"/>
      <c r="U168" s="340"/>
      <c r="V168" s="340"/>
      <c r="Z168" s="340"/>
      <c r="AE168" s="340"/>
      <c r="AI168" s="340"/>
      <c r="AN168" s="340"/>
      <c r="AO168" s="340"/>
      <c r="AS168" s="340"/>
      <c r="AX168" s="340"/>
      <c r="BB168" s="340"/>
      <c r="BD168" s="339"/>
    </row>
    <row r="169" spans="7:56" s="338" customFormat="1">
      <c r="G169" s="340"/>
      <c r="L169" s="340"/>
      <c r="P169" s="340"/>
      <c r="U169" s="340"/>
      <c r="V169" s="340"/>
      <c r="Z169" s="340"/>
      <c r="AE169" s="340"/>
      <c r="AI169" s="340"/>
      <c r="AN169" s="340"/>
      <c r="AO169" s="340"/>
      <c r="AS169" s="340"/>
      <c r="AX169" s="340"/>
      <c r="BB169" s="340"/>
      <c r="BD169" s="339"/>
    </row>
    <row r="170" spans="7:56" s="338" customFormat="1">
      <c r="G170" s="340"/>
      <c r="L170" s="340"/>
      <c r="P170" s="340"/>
      <c r="U170" s="340"/>
      <c r="V170" s="340"/>
      <c r="Z170" s="340"/>
      <c r="AE170" s="340"/>
      <c r="AI170" s="340"/>
      <c r="AN170" s="340"/>
      <c r="AO170" s="340"/>
      <c r="AS170" s="340"/>
      <c r="AX170" s="340"/>
      <c r="BB170" s="340"/>
      <c r="BD170" s="339"/>
    </row>
    <row r="171" spans="7:56" s="338" customFormat="1">
      <c r="G171" s="340"/>
      <c r="L171" s="340"/>
      <c r="P171" s="340"/>
      <c r="U171" s="340"/>
      <c r="V171" s="340"/>
      <c r="Z171" s="340"/>
      <c r="AE171" s="340"/>
      <c r="AI171" s="340"/>
      <c r="AN171" s="340"/>
      <c r="AO171" s="340"/>
      <c r="AS171" s="340"/>
      <c r="AX171" s="340"/>
      <c r="BB171" s="340"/>
      <c r="BD171" s="339"/>
    </row>
    <row r="172" spans="7:56" s="338" customFormat="1">
      <c r="G172" s="340"/>
      <c r="L172" s="340"/>
      <c r="P172" s="340"/>
      <c r="U172" s="340"/>
      <c r="V172" s="340"/>
      <c r="Z172" s="340"/>
      <c r="AE172" s="340"/>
      <c r="AI172" s="340"/>
      <c r="AN172" s="340"/>
      <c r="AO172" s="340"/>
      <c r="AS172" s="340"/>
      <c r="AX172" s="340"/>
      <c r="BB172" s="340"/>
      <c r="BD172" s="339"/>
    </row>
    <row r="173" spans="7:56" s="338" customFormat="1">
      <c r="G173" s="340"/>
      <c r="L173" s="340"/>
      <c r="P173" s="340"/>
      <c r="U173" s="340"/>
      <c r="V173" s="340"/>
      <c r="Z173" s="340"/>
      <c r="AE173" s="340"/>
      <c r="AI173" s="340"/>
      <c r="AN173" s="340"/>
      <c r="AO173" s="340"/>
      <c r="AS173" s="340"/>
      <c r="AX173" s="340"/>
      <c r="BB173" s="340"/>
      <c r="BD173" s="339"/>
    </row>
    <row r="174" spans="7:56" s="338" customFormat="1">
      <c r="G174" s="340"/>
      <c r="L174" s="340"/>
      <c r="P174" s="340"/>
      <c r="U174" s="340"/>
      <c r="V174" s="340"/>
      <c r="Z174" s="340"/>
      <c r="AE174" s="340"/>
      <c r="AI174" s="340"/>
      <c r="AN174" s="340"/>
      <c r="AO174" s="340"/>
      <c r="AS174" s="340"/>
      <c r="AX174" s="340"/>
      <c r="BB174" s="340"/>
      <c r="BD174" s="339"/>
    </row>
    <row r="175" spans="7:56" s="338" customFormat="1">
      <c r="G175" s="340"/>
      <c r="L175" s="340"/>
      <c r="P175" s="340"/>
      <c r="U175" s="340"/>
      <c r="V175" s="340"/>
      <c r="Z175" s="340"/>
      <c r="AE175" s="340"/>
      <c r="AI175" s="340"/>
      <c r="AN175" s="340"/>
      <c r="AO175" s="340"/>
      <c r="AS175" s="340"/>
      <c r="AX175" s="340"/>
      <c r="BB175" s="340"/>
      <c r="BD175" s="339"/>
    </row>
    <row r="176" spans="7:56" s="338" customFormat="1">
      <c r="G176" s="340"/>
      <c r="L176" s="340"/>
      <c r="P176" s="340"/>
      <c r="U176" s="340"/>
      <c r="V176" s="340"/>
      <c r="Z176" s="340"/>
      <c r="AE176" s="340"/>
      <c r="AI176" s="340"/>
      <c r="AN176" s="340"/>
      <c r="AO176" s="340"/>
      <c r="AS176" s="340"/>
      <c r="AX176" s="340"/>
      <c r="BB176" s="340"/>
      <c r="BD176" s="339"/>
    </row>
    <row r="177" spans="7:56" s="338" customFormat="1">
      <c r="G177" s="340"/>
      <c r="L177" s="340"/>
      <c r="P177" s="340"/>
      <c r="U177" s="340"/>
      <c r="V177" s="340"/>
      <c r="Z177" s="340"/>
      <c r="AE177" s="340"/>
      <c r="AI177" s="340"/>
      <c r="AN177" s="340"/>
      <c r="AO177" s="340"/>
      <c r="AS177" s="340"/>
      <c r="AX177" s="340"/>
      <c r="BB177" s="340"/>
      <c r="BD177" s="339"/>
    </row>
    <row r="178" spans="7:56" s="338" customFormat="1">
      <c r="G178" s="340"/>
      <c r="L178" s="340"/>
      <c r="P178" s="340"/>
      <c r="U178" s="340"/>
      <c r="V178" s="340"/>
      <c r="Z178" s="340"/>
      <c r="AE178" s="340"/>
      <c r="AI178" s="340"/>
      <c r="AN178" s="340"/>
      <c r="AO178" s="340"/>
      <c r="AS178" s="340"/>
      <c r="AX178" s="340"/>
      <c r="BB178" s="340"/>
      <c r="BD178" s="339"/>
    </row>
    <row r="179" spans="7:56" s="338" customFormat="1">
      <c r="G179" s="340"/>
      <c r="L179" s="340"/>
      <c r="P179" s="340"/>
      <c r="U179" s="340"/>
      <c r="V179" s="340"/>
      <c r="Z179" s="340"/>
      <c r="AE179" s="340"/>
      <c r="AI179" s="340"/>
      <c r="AN179" s="340"/>
      <c r="AO179" s="340"/>
      <c r="AS179" s="340"/>
      <c r="AX179" s="340"/>
      <c r="BB179" s="340"/>
      <c r="BD179" s="339"/>
    </row>
    <row r="180" spans="7:56" s="338" customFormat="1">
      <c r="G180" s="340"/>
      <c r="L180" s="340"/>
      <c r="P180" s="340"/>
      <c r="U180" s="340"/>
      <c r="V180" s="340"/>
      <c r="Z180" s="340"/>
      <c r="AE180" s="340"/>
      <c r="AI180" s="340"/>
      <c r="AN180" s="340"/>
      <c r="AO180" s="340"/>
      <c r="AS180" s="340"/>
      <c r="AX180" s="340"/>
      <c r="BB180" s="340"/>
      <c r="BD180" s="339"/>
    </row>
    <row r="181" spans="7:56" s="338" customFormat="1">
      <c r="G181" s="340"/>
      <c r="L181" s="340"/>
      <c r="P181" s="340"/>
      <c r="U181" s="340"/>
      <c r="V181" s="340"/>
      <c r="Z181" s="340"/>
      <c r="AE181" s="340"/>
      <c r="AI181" s="340"/>
      <c r="AN181" s="340"/>
      <c r="AO181" s="340"/>
      <c r="AS181" s="340"/>
      <c r="AX181" s="340"/>
      <c r="BB181" s="340"/>
      <c r="BD181" s="339"/>
    </row>
    <row r="182" spans="7:56" s="338" customFormat="1">
      <c r="G182" s="340"/>
      <c r="L182" s="340"/>
      <c r="P182" s="340"/>
      <c r="U182" s="340"/>
      <c r="V182" s="340"/>
      <c r="Z182" s="340"/>
      <c r="AE182" s="340"/>
      <c r="AI182" s="340"/>
      <c r="AN182" s="340"/>
      <c r="AO182" s="340"/>
      <c r="AS182" s="340"/>
      <c r="AX182" s="340"/>
      <c r="BB182" s="340"/>
      <c r="BD182" s="339"/>
    </row>
    <row r="183" spans="7:56" s="338" customFormat="1">
      <c r="G183" s="340"/>
      <c r="L183" s="340"/>
      <c r="P183" s="340"/>
      <c r="U183" s="340"/>
      <c r="V183" s="340"/>
      <c r="Z183" s="340"/>
      <c r="AE183" s="340"/>
      <c r="AI183" s="340"/>
      <c r="AN183" s="340"/>
      <c r="AO183" s="340"/>
      <c r="AS183" s="340"/>
      <c r="AX183" s="340"/>
      <c r="BB183" s="340"/>
      <c r="BD183" s="339"/>
    </row>
    <row r="184" spans="7:56" s="338" customFormat="1">
      <c r="G184" s="340"/>
      <c r="L184" s="340"/>
      <c r="P184" s="340"/>
      <c r="U184" s="340"/>
      <c r="V184" s="340"/>
      <c r="Z184" s="340"/>
      <c r="AE184" s="340"/>
      <c r="AI184" s="340"/>
      <c r="AN184" s="340"/>
      <c r="AO184" s="340"/>
      <c r="AS184" s="340"/>
      <c r="AX184" s="340"/>
      <c r="BB184" s="340"/>
      <c r="BD184" s="339"/>
    </row>
    <row r="185" spans="7:56" s="338" customFormat="1">
      <c r="G185" s="340"/>
      <c r="L185" s="340"/>
      <c r="P185" s="340"/>
      <c r="U185" s="340"/>
      <c r="V185" s="340"/>
      <c r="Z185" s="340"/>
      <c r="AE185" s="340"/>
      <c r="AI185" s="340"/>
      <c r="AN185" s="340"/>
      <c r="AO185" s="340"/>
      <c r="AS185" s="340"/>
      <c r="AX185" s="340"/>
      <c r="BB185" s="340"/>
      <c r="BD185" s="339"/>
    </row>
    <row r="186" spans="7:56" s="338" customFormat="1">
      <c r="G186" s="340"/>
      <c r="L186" s="340"/>
      <c r="P186" s="340"/>
      <c r="U186" s="340"/>
      <c r="V186" s="340"/>
      <c r="Z186" s="340"/>
      <c r="AE186" s="340"/>
      <c r="AI186" s="340"/>
      <c r="AN186" s="340"/>
      <c r="AO186" s="340"/>
      <c r="AS186" s="340"/>
      <c r="AX186" s="340"/>
      <c r="BB186" s="340"/>
      <c r="BD186" s="339"/>
    </row>
    <row r="187" spans="7:56" s="338" customFormat="1">
      <c r="G187" s="340"/>
      <c r="L187" s="340"/>
      <c r="P187" s="340"/>
      <c r="U187" s="340"/>
      <c r="V187" s="340"/>
      <c r="Z187" s="340"/>
      <c r="AE187" s="340"/>
      <c r="AI187" s="340"/>
      <c r="AN187" s="340"/>
      <c r="AO187" s="340"/>
      <c r="AS187" s="340"/>
      <c r="AX187" s="340"/>
      <c r="BB187" s="340"/>
      <c r="BD187" s="339"/>
    </row>
    <row r="188" spans="7:56" s="338" customFormat="1">
      <c r="G188" s="340"/>
      <c r="L188" s="340"/>
      <c r="P188" s="340"/>
      <c r="U188" s="340"/>
      <c r="V188" s="340"/>
      <c r="Z188" s="340"/>
      <c r="AE188" s="340"/>
      <c r="AI188" s="340"/>
      <c r="AN188" s="340"/>
      <c r="AO188" s="340"/>
      <c r="AS188" s="340"/>
      <c r="AX188" s="340"/>
      <c r="BB188" s="340"/>
      <c r="BD188" s="339"/>
    </row>
    <row r="189" spans="7:56" s="338" customFormat="1">
      <c r="G189" s="340"/>
      <c r="L189" s="340"/>
      <c r="P189" s="340"/>
      <c r="U189" s="340"/>
      <c r="V189" s="340"/>
      <c r="Z189" s="340"/>
      <c r="AE189" s="340"/>
      <c r="AI189" s="340"/>
      <c r="AN189" s="340"/>
      <c r="AO189" s="340"/>
      <c r="AS189" s="340"/>
      <c r="AX189" s="340"/>
      <c r="BB189" s="340"/>
      <c r="BD189" s="339"/>
    </row>
    <row r="190" spans="7:56" s="338" customFormat="1">
      <c r="G190" s="340"/>
      <c r="L190" s="340"/>
      <c r="P190" s="340"/>
      <c r="U190" s="340"/>
      <c r="V190" s="340"/>
      <c r="Z190" s="340"/>
      <c r="AE190" s="340"/>
      <c r="AI190" s="340"/>
      <c r="AN190" s="340"/>
      <c r="AO190" s="340"/>
      <c r="AS190" s="340"/>
      <c r="AX190" s="340"/>
      <c r="BB190" s="340"/>
      <c r="BD190" s="339"/>
    </row>
    <row r="191" spans="7:56" s="338" customFormat="1">
      <c r="G191" s="340"/>
      <c r="L191" s="340"/>
      <c r="P191" s="340"/>
      <c r="U191" s="340"/>
      <c r="V191" s="340"/>
      <c r="Z191" s="340"/>
      <c r="AE191" s="340"/>
      <c r="AI191" s="340"/>
      <c r="AN191" s="340"/>
      <c r="AO191" s="340"/>
      <c r="AS191" s="340"/>
      <c r="AX191" s="340"/>
      <c r="BB191" s="340"/>
      <c r="BD191" s="339"/>
    </row>
    <row r="192" spans="7:56" s="338" customFormat="1">
      <c r="G192" s="340"/>
      <c r="L192" s="340"/>
      <c r="P192" s="340"/>
      <c r="U192" s="340"/>
      <c r="V192" s="340"/>
      <c r="Z192" s="340"/>
      <c r="AE192" s="340"/>
      <c r="AI192" s="340"/>
      <c r="AN192" s="340"/>
      <c r="AO192" s="340"/>
      <c r="AS192" s="340"/>
      <c r="AX192" s="340"/>
      <c r="BB192" s="340"/>
      <c r="BD192" s="339"/>
    </row>
    <row r="193" spans="7:56" s="338" customFormat="1">
      <c r="G193" s="340"/>
      <c r="L193" s="340"/>
      <c r="P193" s="340"/>
      <c r="U193" s="340"/>
      <c r="V193" s="340"/>
      <c r="Z193" s="340"/>
      <c r="AE193" s="340"/>
      <c r="AI193" s="340"/>
      <c r="AN193" s="340"/>
      <c r="AO193" s="340"/>
      <c r="AS193" s="340"/>
      <c r="AX193" s="340"/>
      <c r="BB193" s="340"/>
      <c r="BD193" s="339"/>
    </row>
    <row r="194" spans="7:56" s="338" customFormat="1">
      <c r="G194" s="340"/>
      <c r="L194" s="340"/>
      <c r="P194" s="340"/>
      <c r="U194" s="340"/>
      <c r="V194" s="340"/>
      <c r="Z194" s="340"/>
      <c r="AE194" s="340"/>
      <c r="AI194" s="340"/>
      <c r="AN194" s="340"/>
      <c r="AO194" s="340"/>
      <c r="AS194" s="340"/>
      <c r="AX194" s="340"/>
      <c r="BB194" s="340"/>
      <c r="BD194" s="339"/>
    </row>
    <row r="195" spans="7:56" s="338" customFormat="1">
      <c r="G195" s="340"/>
      <c r="L195" s="340"/>
      <c r="P195" s="340"/>
      <c r="U195" s="340"/>
      <c r="V195" s="340"/>
      <c r="Z195" s="340"/>
      <c r="AE195" s="340"/>
      <c r="AI195" s="340"/>
      <c r="AN195" s="340"/>
      <c r="AO195" s="340"/>
      <c r="AS195" s="340"/>
      <c r="AX195" s="340"/>
      <c r="BB195" s="340"/>
      <c r="BD195" s="339"/>
    </row>
    <row r="196" spans="7:56" s="338" customFormat="1">
      <c r="G196" s="340"/>
      <c r="L196" s="340"/>
      <c r="P196" s="340"/>
      <c r="U196" s="340"/>
      <c r="V196" s="340"/>
      <c r="Z196" s="340"/>
      <c r="AE196" s="340"/>
      <c r="AI196" s="340"/>
      <c r="AN196" s="340"/>
      <c r="AO196" s="340"/>
      <c r="AS196" s="340"/>
      <c r="AX196" s="340"/>
      <c r="BB196" s="340"/>
      <c r="BD196" s="339"/>
    </row>
    <row r="197" spans="7:56" s="338" customFormat="1">
      <c r="G197" s="340"/>
      <c r="L197" s="340"/>
      <c r="P197" s="340"/>
      <c r="U197" s="340"/>
      <c r="V197" s="340"/>
      <c r="Z197" s="340"/>
      <c r="AE197" s="340"/>
      <c r="AI197" s="340"/>
      <c r="AN197" s="340"/>
      <c r="AO197" s="340"/>
      <c r="AS197" s="340"/>
      <c r="AX197" s="340"/>
      <c r="BB197" s="340"/>
      <c r="BD197" s="339"/>
    </row>
    <row r="198" spans="7:56" s="338" customFormat="1">
      <c r="G198" s="340"/>
      <c r="L198" s="340"/>
      <c r="P198" s="340"/>
      <c r="U198" s="340"/>
      <c r="V198" s="340"/>
      <c r="Z198" s="340"/>
      <c r="AE198" s="340"/>
      <c r="AI198" s="340"/>
      <c r="AN198" s="340"/>
      <c r="AO198" s="340"/>
      <c r="AS198" s="340"/>
      <c r="AX198" s="340"/>
      <c r="BB198" s="340"/>
      <c r="BD198" s="339"/>
    </row>
    <row r="199" spans="7:56" s="338" customFormat="1">
      <c r="G199" s="340"/>
      <c r="L199" s="340"/>
      <c r="P199" s="340"/>
      <c r="U199" s="340"/>
      <c r="V199" s="340"/>
      <c r="Z199" s="340"/>
      <c r="AE199" s="340"/>
      <c r="AI199" s="340"/>
      <c r="AN199" s="340"/>
      <c r="AO199" s="340"/>
      <c r="AS199" s="340"/>
      <c r="AX199" s="340"/>
      <c r="BB199" s="340"/>
      <c r="BD199" s="339"/>
    </row>
    <row r="200" spans="7:56" s="338" customFormat="1">
      <c r="G200" s="340"/>
      <c r="L200" s="340"/>
      <c r="P200" s="340"/>
      <c r="U200" s="340"/>
      <c r="V200" s="340"/>
      <c r="Z200" s="340"/>
      <c r="AE200" s="340"/>
      <c r="AI200" s="340"/>
      <c r="AN200" s="340"/>
      <c r="AO200" s="340"/>
      <c r="AS200" s="340"/>
      <c r="AX200" s="340"/>
      <c r="BB200" s="340"/>
      <c r="BD200" s="339"/>
    </row>
    <row r="201" spans="7:56" s="338" customFormat="1">
      <c r="G201" s="340"/>
      <c r="L201" s="340"/>
      <c r="P201" s="340"/>
      <c r="U201" s="340"/>
      <c r="V201" s="340"/>
      <c r="Z201" s="340"/>
      <c r="AE201" s="340"/>
      <c r="AI201" s="340"/>
      <c r="AN201" s="340"/>
      <c r="AO201" s="340"/>
      <c r="AS201" s="340"/>
      <c r="AX201" s="340"/>
      <c r="BB201" s="340"/>
      <c r="BD201" s="339"/>
    </row>
    <row r="202" spans="7:56" s="338" customFormat="1">
      <c r="G202" s="340"/>
      <c r="L202" s="340"/>
      <c r="P202" s="340"/>
      <c r="U202" s="340"/>
      <c r="V202" s="340"/>
      <c r="Z202" s="340"/>
      <c r="AE202" s="340"/>
      <c r="AI202" s="340"/>
      <c r="AN202" s="340"/>
      <c r="AO202" s="340"/>
      <c r="AS202" s="340"/>
      <c r="AX202" s="340"/>
      <c r="BB202" s="340"/>
      <c r="BD202" s="339"/>
    </row>
    <row r="203" spans="7:56" s="338" customFormat="1">
      <c r="G203" s="340"/>
      <c r="L203" s="340"/>
      <c r="P203" s="340"/>
      <c r="U203" s="340"/>
      <c r="V203" s="340"/>
      <c r="Z203" s="340"/>
      <c r="AE203" s="340"/>
      <c r="AI203" s="340"/>
      <c r="AN203" s="340"/>
      <c r="AO203" s="340"/>
      <c r="AS203" s="340"/>
      <c r="AX203" s="340"/>
      <c r="BB203" s="340"/>
      <c r="BD203" s="339"/>
    </row>
    <row r="204" spans="7:56" s="338" customFormat="1">
      <c r="G204" s="340"/>
      <c r="L204" s="340"/>
      <c r="P204" s="340"/>
      <c r="U204" s="340"/>
      <c r="V204" s="340"/>
      <c r="Z204" s="340"/>
      <c r="AE204" s="340"/>
      <c r="AI204" s="340"/>
      <c r="AN204" s="340"/>
      <c r="AO204" s="340"/>
      <c r="AS204" s="340"/>
      <c r="AX204" s="340"/>
      <c r="BB204" s="340"/>
      <c r="BD204" s="339"/>
    </row>
    <row r="205" spans="7:56" s="338" customFormat="1">
      <c r="G205" s="340"/>
      <c r="L205" s="340"/>
      <c r="P205" s="340"/>
      <c r="U205" s="340"/>
      <c r="V205" s="340"/>
      <c r="Z205" s="340"/>
      <c r="AE205" s="340"/>
      <c r="AI205" s="340"/>
      <c r="AN205" s="340"/>
      <c r="AO205" s="340"/>
      <c r="AS205" s="340"/>
      <c r="AX205" s="340"/>
      <c r="BB205" s="340"/>
      <c r="BD205" s="339"/>
    </row>
    <row r="206" spans="7:56" s="338" customFormat="1">
      <c r="G206" s="340"/>
      <c r="L206" s="340"/>
      <c r="P206" s="340"/>
      <c r="U206" s="340"/>
      <c r="V206" s="340"/>
      <c r="Z206" s="340"/>
      <c r="AE206" s="340"/>
      <c r="AI206" s="340"/>
      <c r="AN206" s="340"/>
      <c r="AO206" s="340"/>
      <c r="AS206" s="340"/>
      <c r="AX206" s="340"/>
      <c r="BB206" s="340"/>
      <c r="BD206" s="339"/>
    </row>
    <row r="207" spans="7:56" s="338" customFormat="1">
      <c r="G207" s="340"/>
      <c r="L207" s="340"/>
      <c r="P207" s="340"/>
      <c r="U207" s="340"/>
      <c r="V207" s="340"/>
      <c r="Z207" s="340"/>
      <c r="AE207" s="340"/>
      <c r="AI207" s="340"/>
      <c r="AN207" s="340"/>
      <c r="AO207" s="340"/>
      <c r="AS207" s="340"/>
      <c r="AX207" s="340"/>
      <c r="BB207" s="340"/>
      <c r="BD207" s="339"/>
    </row>
    <row r="208" spans="7:56" s="338" customFormat="1">
      <c r="G208" s="340"/>
      <c r="L208" s="340"/>
      <c r="P208" s="340"/>
      <c r="U208" s="340"/>
      <c r="V208" s="340"/>
      <c r="Z208" s="340"/>
      <c r="AE208" s="340"/>
      <c r="AI208" s="340"/>
      <c r="AN208" s="340"/>
      <c r="AO208" s="340"/>
      <c r="AS208" s="340"/>
      <c r="AX208" s="340"/>
      <c r="BB208" s="340"/>
      <c r="BD208" s="339"/>
    </row>
    <row r="209" spans="7:56" s="338" customFormat="1">
      <c r="G209" s="340"/>
      <c r="L209" s="340"/>
      <c r="P209" s="340"/>
      <c r="U209" s="340"/>
      <c r="V209" s="340"/>
      <c r="Z209" s="340"/>
      <c r="AE209" s="340"/>
      <c r="AI209" s="340"/>
      <c r="AN209" s="340"/>
      <c r="AO209" s="340"/>
      <c r="AS209" s="340"/>
      <c r="AX209" s="340"/>
      <c r="BB209" s="340"/>
      <c r="BD209" s="339"/>
    </row>
    <row r="210" spans="7:56" s="338" customFormat="1">
      <c r="G210" s="340"/>
      <c r="L210" s="340"/>
      <c r="P210" s="340"/>
      <c r="U210" s="340"/>
      <c r="V210" s="340"/>
      <c r="Z210" s="340"/>
      <c r="AE210" s="340"/>
      <c r="AI210" s="340"/>
      <c r="AN210" s="340"/>
      <c r="AO210" s="340"/>
      <c r="AS210" s="340"/>
      <c r="AX210" s="340"/>
      <c r="BB210" s="340"/>
      <c r="BD210" s="339"/>
    </row>
    <row r="211" spans="7:56" s="338" customFormat="1">
      <c r="G211" s="340"/>
      <c r="L211" s="340"/>
      <c r="P211" s="340"/>
      <c r="U211" s="340"/>
      <c r="V211" s="340"/>
      <c r="Z211" s="340"/>
      <c r="AE211" s="340"/>
      <c r="AI211" s="340"/>
      <c r="AN211" s="340"/>
      <c r="AO211" s="340"/>
      <c r="AS211" s="340"/>
      <c r="AX211" s="340"/>
      <c r="BB211" s="340"/>
      <c r="BD211" s="339"/>
    </row>
    <row r="212" spans="7:56" s="338" customFormat="1">
      <c r="G212" s="340"/>
      <c r="L212" s="340"/>
      <c r="P212" s="340"/>
      <c r="U212" s="340"/>
      <c r="V212" s="340"/>
      <c r="Z212" s="340"/>
      <c r="AE212" s="340"/>
      <c r="AI212" s="340"/>
      <c r="AN212" s="340"/>
      <c r="AO212" s="340"/>
      <c r="AS212" s="340"/>
      <c r="AX212" s="340"/>
      <c r="BB212" s="340"/>
      <c r="BD212" s="339"/>
    </row>
    <row r="213" spans="7:56" s="338" customFormat="1">
      <c r="G213" s="340"/>
      <c r="L213" s="340"/>
      <c r="P213" s="340"/>
      <c r="U213" s="340"/>
      <c r="V213" s="340"/>
      <c r="Z213" s="340"/>
      <c r="AE213" s="340"/>
      <c r="AI213" s="340"/>
      <c r="AN213" s="340"/>
      <c r="AO213" s="340"/>
      <c r="AS213" s="340"/>
      <c r="AX213" s="340"/>
      <c r="BB213" s="340"/>
      <c r="BD213" s="339"/>
    </row>
    <row r="214" spans="7:56" s="338" customFormat="1">
      <c r="G214" s="340"/>
      <c r="L214" s="340"/>
      <c r="P214" s="340"/>
      <c r="U214" s="340"/>
      <c r="V214" s="340"/>
      <c r="Z214" s="340"/>
      <c r="AE214" s="340"/>
      <c r="AI214" s="340"/>
      <c r="AN214" s="340"/>
      <c r="AO214" s="340"/>
      <c r="AS214" s="340"/>
      <c r="AX214" s="340"/>
      <c r="BB214" s="340"/>
      <c r="BD214" s="339"/>
    </row>
    <row r="215" spans="7:56" s="338" customFormat="1">
      <c r="G215" s="340"/>
      <c r="L215" s="340"/>
      <c r="P215" s="340"/>
      <c r="U215" s="340"/>
      <c r="V215" s="340"/>
      <c r="Z215" s="340"/>
      <c r="AE215" s="340"/>
      <c r="AI215" s="340"/>
      <c r="AN215" s="340"/>
      <c r="AO215" s="340"/>
      <c r="AS215" s="340"/>
      <c r="AX215" s="340"/>
      <c r="BB215" s="340"/>
      <c r="BD215" s="339"/>
    </row>
    <row r="216" spans="7:56" s="338" customFormat="1">
      <c r="G216" s="340"/>
      <c r="L216" s="340"/>
      <c r="P216" s="340"/>
      <c r="U216" s="340"/>
      <c r="V216" s="340"/>
      <c r="Z216" s="340"/>
      <c r="AE216" s="340"/>
      <c r="AI216" s="340"/>
      <c r="AN216" s="340"/>
      <c r="AO216" s="340"/>
      <c r="AS216" s="340"/>
      <c r="AX216" s="340"/>
      <c r="BB216" s="340"/>
      <c r="BD216" s="339"/>
    </row>
    <row r="217" spans="7:56" s="338" customFormat="1">
      <c r="G217" s="340"/>
      <c r="L217" s="340"/>
      <c r="P217" s="340"/>
      <c r="U217" s="340"/>
      <c r="V217" s="340"/>
      <c r="Z217" s="340"/>
      <c r="AE217" s="340"/>
      <c r="AI217" s="340"/>
      <c r="AN217" s="340"/>
      <c r="AO217" s="340"/>
      <c r="AS217" s="340"/>
      <c r="AX217" s="340"/>
      <c r="BB217" s="340"/>
      <c r="BD217" s="339"/>
    </row>
    <row r="218" spans="7:56" s="338" customFormat="1">
      <c r="G218" s="340"/>
      <c r="L218" s="340"/>
      <c r="P218" s="340"/>
      <c r="U218" s="340"/>
      <c r="V218" s="340"/>
      <c r="Z218" s="340"/>
      <c r="AE218" s="340"/>
      <c r="AI218" s="340"/>
      <c r="AN218" s="340"/>
      <c r="AO218" s="340"/>
      <c r="AS218" s="340"/>
      <c r="AX218" s="340"/>
      <c r="BB218" s="340"/>
      <c r="BD218" s="339"/>
    </row>
    <row r="219" spans="7:56" s="338" customFormat="1">
      <c r="G219" s="340"/>
      <c r="L219" s="340"/>
      <c r="P219" s="340"/>
      <c r="U219" s="340"/>
      <c r="V219" s="340"/>
      <c r="Z219" s="340"/>
      <c r="AE219" s="340"/>
      <c r="AI219" s="340"/>
      <c r="AN219" s="340"/>
      <c r="AO219" s="340"/>
      <c r="AS219" s="340"/>
      <c r="AX219" s="340"/>
      <c r="BB219" s="340"/>
      <c r="BD219" s="339"/>
    </row>
    <row r="220" spans="7:56" s="338" customFormat="1">
      <c r="G220" s="340"/>
      <c r="L220" s="340"/>
      <c r="P220" s="340"/>
      <c r="U220" s="340"/>
      <c r="V220" s="340"/>
      <c r="Z220" s="340"/>
      <c r="AE220" s="340"/>
      <c r="AI220" s="340"/>
      <c r="AN220" s="340"/>
      <c r="AO220" s="340"/>
      <c r="AS220" s="340"/>
      <c r="AX220" s="340"/>
      <c r="BB220" s="340"/>
      <c r="BD220" s="339"/>
    </row>
    <row r="221" spans="7:56" s="338" customFormat="1">
      <c r="G221" s="340"/>
      <c r="L221" s="340"/>
      <c r="P221" s="340"/>
      <c r="U221" s="340"/>
      <c r="V221" s="340"/>
      <c r="Z221" s="340"/>
      <c r="AE221" s="340"/>
      <c r="AI221" s="340"/>
      <c r="AN221" s="340"/>
      <c r="AO221" s="340"/>
      <c r="AS221" s="340"/>
      <c r="AX221" s="340"/>
      <c r="BB221" s="340"/>
      <c r="BD221" s="339"/>
    </row>
    <row r="222" spans="7:56" s="338" customFormat="1">
      <c r="G222" s="340"/>
      <c r="L222" s="340"/>
      <c r="P222" s="340"/>
      <c r="U222" s="340"/>
      <c r="V222" s="340"/>
      <c r="Z222" s="340"/>
      <c r="AE222" s="340"/>
      <c r="AI222" s="340"/>
      <c r="AN222" s="340"/>
      <c r="AO222" s="340"/>
      <c r="AS222" s="340"/>
      <c r="AX222" s="340"/>
      <c r="BB222" s="340"/>
      <c r="BD222" s="339"/>
    </row>
    <row r="223" spans="7:56" s="338" customFormat="1">
      <c r="G223" s="340"/>
      <c r="L223" s="340"/>
      <c r="P223" s="340"/>
      <c r="U223" s="340"/>
      <c r="V223" s="340"/>
      <c r="Z223" s="340"/>
      <c r="AE223" s="340"/>
      <c r="AI223" s="340"/>
      <c r="AN223" s="340"/>
      <c r="AO223" s="340"/>
      <c r="AS223" s="340"/>
      <c r="AX223" s="340"/>
      <c r="BB223" s="340"/>
      <c r="BD223" s="339"/>
    </row>
    <row r="224" spans="7:56" s="338" customFormat="1">
      <c r="G224" s="340"/>
      <c r="L224" s="340"/>
      <c r="P224" s="340"/>
      <c r="U224" s="340"/>
      <c r="V224" s="340"/>
      <c r="Z224" s="340"/>
      <c r="AE224" s="340"/>
      <c r="AI224" s="340"/>
      <c r="AN224" s="340"/>
      <c r="AO224" s="340"/>
      <c r="AS224" s="340"/>
      <c r="AX224" s="340"/>
      <c r="BB224" s="340"/>
      <c r="BD224" s="339"/>
    </row>
    <row r="225" spans="7:56" s="338" customFormat="1">
      <c r="G225" s="340"/>
      <c r="L225" s="340"/>
      <c r="P225" s="340"/>
      <c r="U225" s="340"/>
      <c r="V225" s="340"/>
      <c r="Z225" s="340"/>
      <c r="AE225" s="340"/>
      <c r="AI225" s="340"/>
      <c r="AN225" s="340"/>
      <c r="AO225" s="340"/>
      <c r="AS225" s="340"/>
      <c r="AX225" s="340"/>
      <c r="BB225" s="340"/>
      <c r="BD225" s="339"/>
    </row>
    <row r="226" spans="7:56" s="338" customFormat="1">
      <c r="G226" s="340"/>
      <c r="L226" s="340"/>
      <c r="P226" s="340"/>
      <c r="U226" s="340"/>
      <c r="V226" s="340"/>
      <c r="Z226" s="340"/>
      <c r="AE226" s="340"/>
      <c r="AI226" s="340"/>
      <c r="AN226" s="340"/>
      <c r="AO226" s="340"/>
      <c r="AS226" s="340"/>
      <c r="AX226" s="340"/>
      <c r="BB226" s="340"/>
      <c r="BD226" s="339"/>
    </row>
    <row r="227" spans="7:56" s="338" customFormat="1">
      <c r="G227" s="340"/>
      <c r="L227" s="340"/>
      <c r="P227" s="340"/>
      <c r="U227" s="340"/>
      <c r="V227" s="340"/>
      <c r="Z227" s="340"/>
      <c r="AE227" s="340"/>
      <c r="AI227" s="340"/>
      <c r="AN227" s="340"/>
      <c r="AO227" s="340"/>
      <c r="AS227" s="340"/>
      <c r="AX227" s="340"/>
      <c r="BB227" s="340"/>
      <c r="BD227" s="339"/>
    </row>
    <row r="228" spans="7:56" s="338" customFormat="1">
      <c r="G228" s="340"/>
      <c r="L228" s="340"/>
      <c r="P228" s="340"/>
      <c r="U228" s="340"/>
      <c r="V228" s="340"/>
      <c r="Z228" s="340"/>
      <c r="AE228" s="340"/>
      <c r="AI228" s="340"/>
      <c r="AN228" s="340"/>
      <c r="AO228" s="340"/>
      <c r="AS228" s="340"/>
      <c r="AX228" s="340"/>
      <c r="BB228" s="340"/>
      <c r="BD228" s="339"/>
    </row>
    <row r="229" spans="7:56" s="338" customFormat="1">
      <c r="G229" s="340"/>
      <c r="L229" s="340"/>
      <c r="P229" s="340"/>
      <c r="U229" s="340"/>
      <c r="V229" s="340"/>
      <c r="Z229" s="340"/>
      <c r="AE229" s="340"/>
      <c r="AI229" s="340"/>
      <c r="AN229" s="340"/>
      <c r="AO229" s="340"/>
      <c r="AS229" s="340"/>
      <c r="AX229" s="340"/>
      <c r="BB229" s="340"/>
      <c r="BD229" s="339"/>
    </row>
    <row r="230" spans="7:56" s="338" customFormat="1">
      <c r="G230" s="340"/>
      <c r="L230" s="340"/>
      <c r="P230" s="340"/>
      <c r="U230" s="340"/>
      <c r="V230" s="340"/>
      <c r="Z230" s="340"/>
      <c r="AE230" s="340"/>
      <c r="AI230" s="340"/>
      <c r="AN230" s="340"/>
      <c r="AO230" s="340"/>
      <c r="AS230" s="340"/>
      <c r="AX230" s="340"/>
      <c r="BB230" s="340"/>
      <c r="BD230" s="339"/>
    </row>
    <row r="231" spans="7:56" s="338" customFormat="1">
      <c r="G231" s="340"/>
      <c r="L231" s="340"/>
      <c r="P231" s="340"/>
      <c r="U231" s="340"/>
      <c r="V231" s="340"/>
      <c r="Z231" s="340"/>
      <c r="AE231" s="340"/>
      <c r="AI231" s="340"/>
      <c r="AN231" s="340"/>
      <c r="AO231" s="340"/>
      <c r="AS231" s="340"/>
      <c r="AX231" s="340"/>
      <c r="BB231" s="340"/>
      <c r="BD231" s="339"/>
    </row>
    <row r="232" spans="7:56" s="338" customFormat="1">
      <c r="G232" s="340"/>
      <c r="L232" s="340"/>
      <c r="P232" s="340"/>
      <c r="U232" s="340"/>
      <c r="V232" s="340"/>
      <c r="Z232" s="340"/>
      <c r="AE232" s="340"/>
      <c r="AI232" s="340"/>
      <c r="AN232" s="340"/>
      <c r="AO232" s="340"/>
      <c r="AS232" s="340"/>
      <c r="AX232" s="340"/>
      <c r="BB232" s="340"/>
      <c r="BD232" s="339"/>
    </row>
    <row r="233" spans="7:56" s="338" customFormat="1">
      <c r="G233" s="340"/>
      <c r="L233" s="340"/>
      <c r="P233" s="340"/>
      <c r="U233" s="340"/>
      <c r="V233" s="340"/>
      <c r="Z233" s="340"/>
      <c r="AE233" s="340"/>
      <c r="AI233" s="340"/>
      <c r="AN233" s="340"/>
      <c r="AO233" s="340"/>
      <c r="AS233" s="340"/>
      <c r="AX233" s="340"/>
      <c r="BB233" s="340"/>
      <c r="BD233" s="339"/>
    </row>
    <row r="234" spans="7:56" s="338" customFormat="1">
      <c r="G234" s="340"/>
      <c r="L234" s="340"/>
      <c r="P234" s="340"/>
      <c r="U234" s="340"/>
      <c r="V234" s="340"/>
      <c r="Z234" s="340"/>
      <c r="AE234" s="340"/>
      <c r="AI234" s="340"/>
      <c r="AN234" s="340"/>
      <c r="AO234" s="340"/>
      <c r="AS234" s="340"/>
      <c r="AX234" s="340"/>
      <c r="BB234" s="340"/>
      <c r="BD234" s="339"/>
    </row>
    <row r="235" spans="7:56" s="338" customFormat="1">
      <c r="G235" s="340"/>
      <c r="L235" s="340"/>
      <c r="P235" s="340"/>
      <c r="U235" s="340"/>
      <c r="V235" s="340"/>
      <c r="Z235" s="340"/>
      <c r="AE235" s="340"/>
      <c r="AI235" s="340"/>
      <c r="AN235" s="340"/>
      <c r="AO235" s="340"/>
      <c r="AS235" s="340"/>
      <c r="AX235" s="340"/>
      <c r="BB235" s="340"/>
      <c r="BD235" s="339"/>
    </row>
    <row r="236" spans="7:56" s="338" customFormat="1">
      <c r="G236" s="340"/>
      <c r="L236" s="340"/>
      <c r="P236" s="340"/>
      <c r="U236" s="340"/>
      <c r="V236" s="340"/>
      <c r="Z236" s="340"/>
      <c r="AE236" s="340"/>
      <c r="AI236" s="340"/>
      <c r="AN236" s="340"/>
      <c r="AO236" s="340"/>
      <c r="AS236" s="340"/>
      <c r="AX236" s="340"/>
      <c r="BB236" s="340"/>
      <c r="BD236" s="339"/>
    </row>
    <row r="237" spans="7:56" s="338" customFormat="1">
      <c r="G237" s="340"/>
      <c r="L237" s="340"/>
      <c r="P237" s="340"/>
      <c r="U237" s="340"/>
      <c r="V237" s="340"/>
      <c r="Z237" s="340"/>
      <c r="AE237" s="340"/>
      <c r="AI237" s="340"/>
      <c r="AN237" s="340"/>
      <c r="AO237" s="340"/>
      <c r="AS237" s="340"/>
      <c r="AX237" s="340"/>
      <c r="BB237" s="340"/>
      <c r="BD237" s="339"/>
    </row>
    <row r="238" spans="7:56" s="338" customFormat="1">
      <c r="G238" s="340"/>
      <c r="L238" s="340"/>
      <c r="P238" s="340"/>
      <c r="U238" s="340"/>
      <c r="V238" s="340"/>
      <c r="Z238" s="340"/>
      <c r="AE238" s="340"/>
      <c r="AI238" s="340"/>
      <c r="AN238" s="340"/>
      <c r="AO238" s="340"/>
      <c r="AS238" s="340"/>
      <c r="AX238" s="340"/>
      <c r="BB238" s="340"/>
      <c r="BD238" s="339"/>
    </row>
    <row r="239" spans="7:56" s="338" customFormat="1">
      <c r="G239" s="340"/>
      <c r="L239" s="340"/>
      <c r="P239" s="340"/>
      <c r="U239" s="340"/>
      <c r="V239" s="340"/>
      <c r="Z239" s="340"/>
      <c r="AE239" s="340"/>
      <c r="AI239" s="340"/>
      <c r="AN239" s="340"/>
      <c r="AO239" s="340"/>
      <c r="AS239" s="340"/>
      <c r="AX239" s="340"/>
      <c r="BB239" s="340"/>
      <c r="BD239" s="339"/>
    </row>
    <row r="240" spans="7:56" s="338" customFormat="1">
      <c r="G240" s="340"/>
      <c r="L240" s="340"/>
      <c r="P240" s="340"/>
      <c r="U240" s="340"/>
      <c r="V240" s="340"/>
      <c r="Z240" s="340"/>
      <c r="AE240" s="340"/>
      <c r="AI240" s="340"/>
      <c r="AN240" s="340"/>
      <c r="AO240" s="340"/>
      <c r="AS240" s="340"/>
      <c r="AX240" s="340"/>
      <c r="BB240" s="340"/>
      <c r="BD240" s="339"/>
    </row>
    <row r="241" spans="7:56" s="338" customFormat="1">
      <c r="G241" s="340"/>
      <c r="L241" s="340"/>
      <c r="P241" s="340"/>
      <c r="U241" s="340"/>
      <c r="V241" s="340"/>
      <c r="Z241" s="340"/>
      <c r="AE241" s="340"/>
      <c r="AI241" s="340"/>
      <c r="AN241" s="340"/>
      <c r="AO241" s="340"/>
      <c r="AS241" s="340"/>
      <c r="AX241" s="340"/>
      <c r="BB241" s="340"/>
      <c r="BD241" s="339"/>
    </row>
    <row r="242" spans="7:56" s="338" customFormat="1">
      <c r="G242" s="340"/>
      <c r="L242" s="340"/>
      <c r="P242" s="340"/>
      <c r="U242" s="340"/>
      <c r="V242" s="340"/>
      <c r="Z242" s="340"/>
      <c r="AE242" s="340"/>
      <c r="AI242" s="340"/>
      <c r="AN242" s="340"/>
      <c r="AO242" s="340"/>
      <c r="AS242" s="340"/>
      <c r="AX242" s="340"/>
      <c r="BB242" s="340"/>
      <c r="BD242" s="339"/>
    </row>
    <row r="243" spans="7:56" s="338" customFormat="1">
      <c r="G243" s="340"/>
      <c r="L243" s="340"/>
      <c r="P243" s="340"/>
      <c r="U243" s="340"/>
      <c r="V243" s="340"/>
      <c r="Z243" s="340"/>
      <c r="AE243" s="340"/>
      <c r="AI243" s="340"/>
      <c r="AN243" s="340"/>
      <c r="AO243" s="340"/>
      <c r="AS243" s="340"/>
      <c r="AX243" s="340"/>
      <c r="BB243" s="340"/>
      <c r="BD243" s="339"/>
    </row>
    <row r="244" spans="7:56" s="338" customFormat="1">
      <c r="G244" s="340"/>
      <c r="L244" s="340"/>
      <c r="P244" s="340"/>
      <c r="U244" s="340"/>
      <c r="V244" s="340"/>
      <c r="Z244" s="340"/>
      <c r="AE244" s="340"/>
      <c r="AI244" s="340"/>
      <c r="AN244" s="340"/>
      <c r="AO244" s="340"/>
      <c r="AS244" s="340"/>
      <c r="AX244" s="340"/>
      <c r="BB244" s="340"/>
      <c r="BD244" s="339"/>
    </row>
    <row r="245" spans="7:56" s="338" customFormat="1">
      <c r="G245" s="340"/>
      <c r="L245" s="340"/>
      <c r="P245" s="340"/>
      <c r="U245" s="340"/>
      <c r="V245" s="340"/>
      <c r="Z245" s="340"/>
      <c r="AE245" s="340"/>
      <c r="AI245" s="340"/>
      <c r="AN245" s="340"/>
      <c r="AO245" s="340"/>
      <c r="AS245" s="340"/>
      <c r="AX245" s="340"/>
      <c r="BB245" s="340"/>
      <c r="BD245" s="339"/>
    </row>
    <row r="246" spans="7:56" s="338" customFormat="1">
      <c r="G246" s="340"/>
      <c r="L246" s="340"/>
      <c r="P246" s="340"/>
      <c r="U246" s="340"/>
      <c r="V246" s="340"/>
      <c r="Z246" s="340"/>
      <c r="AE246" s="340"/>
      <c r="AI246" s="340"/>
      <c r="AN246" s="340"/>
      <c r="AO246" s="340"/>
      <c r="AS246" s="340"/>
      <c r="AX246" s="340"/>
      <c r="BB246" s="340"/>
      <c r="BD246" s="339"/>
    </row>
    <row r="247" spans="7:56" s="338" customFormat="1">
      <c r="G247" s="340"/>
      <c r="L247" s="340"/>
      <c r="P247" s="340"/>
      <c r="U247" s="340"/>
      <c r="V247" s="340"/>
      <c r="Z247" s="340"/>
      <c r="AE247" s="340"/>
      <c r="AI247" s="340"/>
      <c r="AN247" s="340"/>
      <c r="AO247" s="340"/>
      <c r="AS247" s="340"/>
      <c r="AX247" s="340"/>
      <c r="BB247" s="340"/>
      <c r="BD247" s="339"/>
    </row>
    <row r="248" spans="7:56" s="338" customFormat="1">
      <c r="G248" s="340"/>
      <c r="L248" s="340"/>
      <c r="P248" s="340"/>
      <c r="U248" s="340"/>
      <c r="V248" s="340"/>
      <c r="Z248" s="340"/>
      <c r="AE248" s="340"/>
      <c r="AI248" s="340"/>
      <c r="AN248" s="340"/>
      <c r="AO248" s="340"/>
      <c r="AS248" s="340"/>
      <c r="AX248" s="340"/>
      <c r="BB248" s="340"/>
      <c r="BD248" s="339"/>
    </row>
    <row r="249" spans="7:56" s="338" customFormat="1">
      <c r="G249" s="340"/>
      <c r="L249" s="340"/>
      <c r="P249" s="340"/>
      <c r="U249" s="340"/>
      <c r="V249" s="340"/>
      <c r="Z249" s="340"/>
      <c r="AE249" s="340"/>
      <c r="AI249" s="340"/>
      <c r="AN249" s="340"/>
      <c r="AO249" s="340"/>
      <c r="AS249" s="340"/>
      <c r="AX249" s="340"/>
      <c r="BB249" s="340"/>
      <c r="BD249" s="339"/>
    </row>
    <row r="250" spans="7:56" s="338" customFormat="1">
      <c r="G250" s="340"/>
      <c r="L250" s="340"/>
      <c r="P250" s="340"/>
      <c r="U250" s="340"/>
      <c r="V250" s="340"/>
      <c r="Z250" s="340"/>
      <c r="AE250" s="340"/>
      <c r="AI250" s="340"/>
      <c r="AN250" s="340"/>
      <c r="AO250" s="340"/>
      <c r="AS250" s="340"/>
      <c r="AX250" s="340"/>
      <c r="BB250" s="340"/>
      <c r="BD250" s="339"/>
    </row>
    <row r="251" spans="7:56" s="338" customFormat="1">
      <c r="G251" s="340"/>
      <c r="L251" s="340"/>
      <c r="P251" s="340"/>
      <c r="U251" s="340"/>
      <c r="V251" s="340"/>
      <c r="Z251" s="340"/>
      <c r="AE251" s="340"/>
      <c r="AI251" s="340"/>
      <c r="AN251" s="340"/>
      <c r="AO251" s="340"/>
      <c r="AS251" s="340"/>
      <c r="AX251" s="340"/>
      <c r="BB251" s="340"/>
      <c r="BD251" s="339"/>
    </row>
    <row r="252" spans="7:56" s="338" customFormat="1">
      <c r="G252" s="340"/>
      <c r="L252" s="340"/>
      <c r="P252" s="340"/>
      <c r="U252" s="340"/>
      <c r="V252" s="340"/>
      <c r="Z252" s="340"/>
      <c r="AE252" s="340"/>
      <c r="AI252" s="340"/>
      <c r="AN252" s="340"/>
      <c r="AO252" s="340"/>
      <c r="AS252" s="340"/>
      <c r="AX252" s="340"/>
      <c r="BB252" s="340"/>
      <c r="BD252" s="339"/>
    </row>
    <row r="253" spans="7:56" s="338" customFormat="1">
      <c r="G253" s="340"/>
      <c r="L253" s="340"/>
      <c r="P253" s="340"/>
      <c r="U253" s="340"/>
      <c r="V253" s="340"/>
      <c r="Z253" s="340"/>
      <c r="AE253" s="340"/>
      <c r="AI253" s="340"/>
      <c r="AN253" s="340"/>
      <c r="AO253" s="340"/>
      <c r="AS253" s="340"/>
      <c r="AX253" s="340"/>
      <c r="BB253" s="340"/>
      <c r="BD253" s="339"/>
    </row>
    <row r="254" spans="7:56" s="338" customFormat="1">
      <c r="G254" s="340"/>
      <c r="L254" s="340"/>
      <c r="P254" s="340"/>
      <c r="U254" s="340"/>
      <c r="V254" s="340"/>
      <c r="Z254" s="340"/>
      <c r="AE254" s="340"/>
      <c r="AI254" s="340"/>
      <c r="AN254" s="340"/>
      <c r="AO254" s="340"/>
      <c r="AS254" s="340"/>
      <c r="AX254" s="340"/>
      <c r="BB254" s="340"/>
      <c r="BD254" s="339"/>
    </row>
    <row r="255" spans="7:56" s="338" customFormat="1">
      <c r="G255" s="340"/>
      <c r="L255" s="340"/>
      <c r="P255" s="340"/>
      <c r="U255" s="340"/>
      <c r="V255" s="340"/>
      <c r="Z255" s="340"/>
      <c r="AE255" s="340"/>
      <c r="AI255" s="340"/>
      <c r="AN255" s="340"/>
      <c r="AO255" s="340"/>
      <c r="AS255" s="340"/>
      <c r="AX255" s="340"/>
      <c r="BB255" s="340"/>
      <c r="BD255" s="339"/>
    </row>
    <row r="256" spans="7:56" s="338" customFormat="1">
      <c r="G256" s="340"/>
      <c r="L256" s="340"/>
      <c r="P256" s="340"/>
      <c r="U256" s="340"/>
      <c r="V256" s="340"/>
      <c r="Z256" s="340"/>
      <c r="AE256" s="340"/>
      <c r="AI256" s="340"/>
      <c r="AN256" s="340"/>
      <c r="AO256" s="340"/>
      <c r="AS256" s="340"/>
      <c r="AX256" s="340"/>
      <c r="BB256" s="340"/>
      <c r="BD256" s="339"/>
    </row>
    <row r="257" spans="7:56" s="338" customFormat="1">
      <c r="G257" s="340"/>
      <c r="L257" s="340"/>
      <c r="P257" s="340"/>
      <c r="U257" s="340"/>
      <c r="V257" s="340"/>
      <c r="Z257" s="340"/>
      <c r="AE257" s="340"/>
      <c r="AI257" s="340"/>
      <c r="AN257" s="340"/>
      <c r="AO257" s="340"/>
      <c r="AS257" s="340"/>
      <c r="AX257" s="340"/>
      <c r="BB257" s="340"/>
      <c r="BD257" s="339"/>
    </row>
    <row r="258" spans="7:56" s="338" customFormat="1">
      <c r="G258" s="340"/>
      <c r="L258" s="340"/>
      <c r="P258" s="340"/>
      <c r="U258" s="340"/>
      <c r="V258" s="340"/>
      <c r="Z258" s="340"/>
      <c r="AE258" s="340"/>
      <c r="AI258" s="340"/>
      <c r="AN258" s="340"/>
      <c r="AO258" s="340"/>
      <c r="AS258" s="340"/>
      <c r="AX258" s="340"/>
      <c r="BB258" s="340"/>
      <c r="BD258" s="339"/>
    </row>
    <row r="259" spans="7:56" s="338" customFormat="1">
      <c r="G259" s="340"/>
      <c r="L259" s="340"/>
      <c r="P259" s="340"/>
      <c r="U259" s="340"/>
      <c r="V259" s="340"/>
      <c r="Z259" s="340"/>
      <c r="AE259" s="340"/>
      <c r="AI259" s="340"/>
      <c r="AN259" s="340"/>
      <c r="AO259" s="340"/>
      <c r="AS259" s="340"/>
      <c r="AX259" s="340"/>
      <c r="BB259" s="340"/>
      <c r="BD259" s="339"/>
    </row>
    <row r="260" spans="7:56" s="338" customFormat="1">
      <c r="G260" s="340"/>
      <c r="L260" s="340"/>
      <c r="P260" s="340"/>
      <c r="U260" s="340"/>
      <c r="V260" s="340"/>
      <c r="Z260" s="340"/>
      <c r="AE260" s="340"/>
      <c r="AI260" s="340"/>
      <c r="AN260" s="340"/>
      <c r="AO260" s="340"/>
      <c r="AS260" s="340"/>
      <c r="AX260" s="340"/>
      <c r="BB260" s="340"/>
      <c r="BD260" s="339"/>
    </row>
    <row r="261" spans="7:56" s="338" customFormat="1">
      <c r="G261" s="340"/>
      <c r="L261" s="340"/>
      <c r="P261" s="340"/>
      <c r="U261" s="340"/>
      <c r="V261" s="340"/>
      <c r="Z261" s="340"/>
      <c r="AE261" s="340"/>
      <c r="AI261" s="340"/>
      <c r="AN261" s="340"/>
      <c r="AO261" s="340"/>
      <c r="AS261" s="340"/>
      <c r="AX261" s="340"/>
      <c r="BB261" s="340"/>
      <c r="BD261" s="339"/>
    </row>
    <row r="262" spans="7:56" s="338" customFormat="1">
      <c r="G262" s="340"/>
      <c r="L262" s="340"/>
      <c r="P262" s="340"/>
      <c r="U262" s="340"/>
      <c r="V262" s="340"/>
      <c r="Z262" s="340"/>
      <c r="AE262" s="340"/>
      <c r="AI262" s="340"/>
      <c r="AN262" s="340"/>
      <c r="AO262" s="340"/>
      <c r="AS262" s="340"/>
      <c r="AX262" s="340"/>
      <c r="BB262" s="340"/>
      <c r="BD262" s="339"/>
    </row>
    <row r="263" spans="7:56" s="338" customFormat="1">
      <c r="G263" s="340"/>
      <c r="L263" s="340"/>
      <c r="P263" s="340"/>
      <c r="U263" s="340"/>
      <c r="V263" s="340"/>
      <c r="Z263" s="340"/>
      <c r="AE263" s="340"/>
      <c r="AI263" s="340"/>
      <c r="AN263" s="340"/>
      <c r="AO263" s="340"/>
      <c r="AS263" s="340"/>
      <c r="AX263" s="340"/>
      <c r="BB263" s="340"/>
      <c r="BD263" s="339"/>
    </row>
    <row r="264" spans="7:56" s="338" customFormat="1">
      <c r="G264" s="340"/>
      <c r="L264" s="340"/>
      <c r="P264" s="340"/>
      <c r="U264" s="340"/>
      <c r="V264" s="340"/>
      <c r="Z264" s="340"/>
      <c r="AE264" s="340"/>
      <c r="AI264" s="340"/>
      <c r="AN264" s="340"/>
      <c r="AO264" s="340"/>
      <c r="AS264" s="340"/>
      <c r="AX264" s="340"/>
      <c r="BB264" s="340"/>
      <c r="BD264" s="339"/>
    </row>
    <row r="265" spans="7:56" s="338" customFormat="1">
      <c r="G265" s="340"/>
      <c r="L265" s="340"/>
      <c r="P265" s="340"/>
      <c r="U265" s="340"/>
      <c r="V265" s="340"/>
      <c r="Z265" s="340"/>
      <c r="AE265" s="340"/>
      <c r="AI265" s="340"/>
      <c r="AN265" s="340"/>
      <c r="AO265" s="340"/>
      <c r="AS265" s="340"/>
      <c r="AX265" s="340"/>
      <c r="BB265" s="340"/>
      <c r="BD265" s="339"/>
    </row>
    <row r="266" spans="7:56" s="338" customFormat="1">
      <c r="G266" s="340"/>
      <c r="L266" s="340"/>
      <c r="P266" s="340"/>
      <c r="U266" s="340"/>
      <c r="V266" s="340"/>
      <c r="Z266" s="340"/>
      <c r="AE266" s="340"/>
      <c r="AI266" s="340"/>
      <c r="AN266" s="340"/>
      <c r="AO266" s="340"/>
      <c r="AS266" s="340"/>
      <c r="AX266" s="340"/>
      <c r="BB266" s="340"/>
      <c r="BD266" s="339"/>
    </row>
    <row r="267" spans="7:56" s="338" customFormat="1">
      <c r="G267" s="340"/>
      <c r="L267" s="340"/>
      <c r="P267" s="340"/>
      <c r="U267" s="340"/>
      <c r="V267" s="340"/>
      <c r="Z267" s="340"/>
      <c r="AE267" s="340"/>
      <c r="AI267" s="340"/>
      <c r="AN267" s="340"/>
      <c r="AO267" s="340"/>
      <c r="AS267" s="340"/>
      <c r="AX267" s="340"/>
      <c r="BB267" s="340"/>
      <c r="BD267" s="339"/>
    </row>
    <row r="268" spans="7:56" s="338" customFormat="1">
      <c r="G268" s="340"/>
      <c r="L268" s="340"/>
      <c r="P268" s="340"/>
      <c r="U268" s="340"/>
      <c r="V268" s="340"/>
      <c r="Z268" s="340"/>
      <c r="AE268" s="340"/>
      <c r="AI268" s="340"/>
      <c r="AN268" s="340"/>
      <c r="AO268" s="340"/>
      <c r="AS268" s="340"/>
      <c r="AX268" s="340"/>
      <c r="BB268" s="340"/>
      <c r="BD268" s="339"/>
    </row>
    <row r="269" spans="7:56" s="338" customFormat="1">
      <c r="G269" s="340"/>
      <c r="L269" s="340"/>
      <c r="P269" s="340"/>
      <c r="U269" s="340"/>
      <c r="V269" s="340"/>
      <c r="Z269" s="340"/>
      <c r="AE269" s="340"/>
      <c r="AI269" s="340"/>
      <c r="AN269" s="340"/>
      <c r="AO269" s="340"/>
      <c r="AS269" s="340"/>
      <c r="AX269" s="340"/>
      <c r="BB269" s="340"/>
      <c r="BD269" s="339"/>
    </row>
    <row r="270" spans="7:56" s="338" customFormat="1">
      <c r="G270" s="340"/>
      <c r="L270" s="340"/>
      <c r="P270" s="340"/>
      <c r="U270" s="340"/>
      <c r="V270" s="340"/>
      <c r="Z270" s="340"/>
      <c r="AE270" s="340"/>
      <c r="AI270" s="340"/>
      <c r="AN270" s="340"/>
      <c r="AO270" s="340"/>
      <c r="AS270" s="340"/>
      <c r="AX270" s="340"/>
      <c r="BB270" s="340"/>
      <c r="BD270" s="339"/>
    </row>
    <row r="271" spans="7:56" s="338" customFormat="1">
      <c r="G271" s="340"/>
      <c r="L271" s="340"/>
      <c r="P271" s="340"/>
      <c r="U271" s="340"/>
      <c r="V271" s="340"/>
      <c r="Z271" s="340"/>
      <c r="AE271" s="340"/>
      <c r="AI271" s="340"/>
      <c r="AN271" s="340"/>
      <c r="AO271" s="340"/>
      <c r="AS271" s="340"/>
      <c r="AX271" s="340"/>
      <c r="BB271" s="340"/>
      <c r="BD271" s="339"/>
    </row>
    <row r="272" spans="7:56" s="338" customFormat="1">
      <c r="G272" s="340"/>
      <c r="L272" s="340"/>
      <c r="P272" s="340"/>
      <c r="U272" s="340"/>
      <c r="V272" s="340"/>
      <c r="Z272" s="340"/>
      <c r="AE272" s="340"/>
      <c r="AI272" s="340"/>
      <c r="AN272" s="340"/>
      <c r="AO272" s="340"/>
      <c r="AS272" s="340"/>
      <c r="AX272" s="340"/>
      <c r="BB272" s="340"/>
      <c r="BD272" s="339"/>
    </row>
    <row r="273" spans="7:56" s="338" customFormat="1">
      <c r="G273" s="340"/>
      <c r="L273" s="340"/>
      <c r="P273" s="340"/>
      <c r="U273" s="340"/>
      <c r="V273" s="340"/>
      <c r="Z273" s="340"/>
      <c r="AE273" s="340"/>
      <c r="AI273" s="340"/>
      <c r="AN273" s="340"/>
      <c r="AO273" s="340"/>
      <c r="AS273" s="340"/>
      <c r="AX273" s="340"/>
      <c r="BB273" s="340"/>
      <c r="BD273" s="339"/>
    </row>
    <row r="274" spans="7:56" s="338" customFormat="1">
      <c r="G274" s="340"/>
      <c r="L274" s="340"/>
      <c r="P274" s="340"/>
      <c r="U274" s="340"/>
      <c r="V274" s="340"/>
      <c r="Z274" s="340"/>
      <c r="AE274" s="340"/>
      <c r="AI274" s="340"/>
      <c r="AN274" s="340"/>
      <c r="AO274" s="340"/>
      <c r="AS274" s="340"/>
      <c r="AX274" s="340"/>
      <c r="BB274" s="340"/>
      <c r="BD274" s="339"/>
    </row>
    <row r="275" spans="7:56" s="338" customFormat="1">
      <c r="G275" s="340"/>
      <c r="L275" s="340"/>
      <c r="P275" s="340"/>
      <c r="U275" s="340"/>
      <c r="V275" s="340"/>
      <c r="Z275" s="340"/>
      <c r="AE275" s="340"/>
      <c r="AI275" s="340"/>
      <c r="AN275" s="340"/>
      <c r="AO275" s="340"/>
      <c r="AS275" s="340"/>
      <c r="AX275" s="340"/>
      <c r="BB275" s="340"/>
      <c r="BD275" s="339"/>
    </row>
    <row r="276" spans="7:56" s="338" customFormat="1">
      <c r="G276" s="340"/>
      <c r="L276" s="340"/>
      <c r="P276" s="340"/>
      <c r="U276" s="340"/>
      <c r="V276" s="340"/>
      <c r="Z276" s="340"/>
      <c r="AE276" s="340"/>
      <c r="AI276" s="340"/>
      <c r="AN276" s="340"/>
      <c r="AO276" s="340"/>
      <c r="AS276" s="340"/>
      <c r="AX276" s="340"/>
      <c r="BB276" s="340"/>
      <c r="BD276" s="339"/>
    </row>
    <row r="277" spans="7:56" s="338" customFormat="1">
      <c r="G277" s="340"/>
      <c r="L277" s="340"/>
      <c r="P277" s="340"/>
      <c r="U277" s="340"/>
      <c r="V277" s="340"/>
      <c r="Z277" s="340"/>
      <c r="AE277" s="340"/>
      <c r="AI277" s="340"/>
      <c r="AN277" s="340"/>
      <c r="AO277" s="340"/>
      <c r="AS277" s="340"/>
      <c r="AX277" s="340"/>
      <c r="BB277" s="340"/>
      <c r="BD277" s="339"/>
    </row>
    <row r="278" spans="7:56" s="338" customFormat="1">
      <c r="G278" s="340"/>
      <c r="L278" s="340"/>
      <c r="P278" s="340"/>
      <c r="U278" s="340"/>
      <c r="V278" s="340"/>
      <c r="Z278" s="340"/>
      <c r="AE278" s="340"/>
      <c r="AI278" s="340"/>
      <c r="AN278" s="340"/>
      <c r="AO278" s="340"/>
      <c r="AS278" s="340"/>
      <c r="AX278" s="340"/>
      <c r="BB278" s="340"/>
      <c r="BD278" s="339"/>
    </row>
    <row r="279" spans="7:56" s="338" customFormat="1">
      <c r="G279" s="340"/>
      <c r="L279" s="340"/>
      <c r="P279" s="340"/>
      <c r="U279" s="340"/>
      <c r="V279" s="340"/>
      <c r="Z279" s="340"/>
      <c r="AE279" s="340"/>
      <c r="AI279" s="340"/>
      <c r="AN279" s="340"/>
      <c r="AO279" s="340"/>
      <c r="AS279" s="340"/>
      <c r="AX279" s="340"/>
      <c r="BB279" s="340"/>
      <c r="BD279" s="339"/>
    </row>
    <row r="280" spans="7:56" s="338" customFormat="1">
      <c r="G280" s="340"/>
      <c r="L280" s="340"/>
      <c r="P280" s="340"/>
      <c r="U280" s="340"/>
      <c r="V280" s="340"/>
      <c r="Z280" s="340"/>
      <c r="AE280" s="340"/>
      <c r="AI280" s="340"/>
      <c r="AN280" s="340"/>
      <c r="AO280" s="340"/>
      <c r="AS280" s="340"/>
      <c r="AX280" s="340"/>
      <c r="BB280" s="340"/>
      <c r="BD280" s="339"/>
    </row>
    <row r="281" spans="7:56" s="338" customFormat="1">
      <c r="G281" s="340"/>
      <c r="L281" s="340"/>
      <c r="P281" s="340"/>
      <c r="U281" s="340"/>
      <c r="V281" s="340"/>
      <c r="Z281" s="340"/>
      <c r="AE281" s="340"/>
      <c r="AI281" s="340"/>
      <c r="AN281" s="340"/>
      <c r="AO281" s="340"/>
      <c r="AS281" s="340"/>
      <c r="AX281" s="340"/>
      <c r="BB281" s="340"/>
      <c r="BD281" s="339"/>
    </row>
    <row r="282" spans="7:56" s="338" customFormat="1">
      <c r="G282" s="340"/>
      <c r="L282" s="340"/>
      <c r="P282" s="340"/>
      <c r="U282" s="340"/>
      <c r="V282" s="340"/>
      <c r="Z282" s="340"/>
      <c r="AE282" s="340"/>
      <c r="AI282" s="340"/>
      <c r="AN282" s="340"/>
      <c r="AO282" s="340"/>
      <c r="AS282" s="340"/>
      <c r="AX282" s="340"/>
      <c r="BB282" s="340"/>
      <c r="BD282" s="339"/>
    </row>
    <row r="283" spans="7:56" s="338" customFormat="1">
      <c r="G283" s="340"/>
      <c r="L283" s="340"/>
      <c r="P283" s="340"/>
      <c r="U283" s="340"/>
      <c r="V283" s="340"/>
      <c r="Z283" s="340"/>
      <c r="AE283" s="340"/>
      <c r="AI283" s="340"/>
      <c r="AN283" s="340"/>
      <c r="AO283" s="340"/>
      <c r="AS283" s="340"/>
      <c r="AX283" s="340"/>
      <c r="BB283" s="340"/>
      <c r="BD283" s="339"/>
    </row>
    <row r="284" spans="7:56" s="338" customFormat="1">
      <c r="G284" s="340"/>
      <c r="L284" s="340"/>
      <c r="P284" s="340"/>
      <c r="U284" s="340"/>
      <c r="V284" s="340"/>
      <c r="Z284" s="340"/>
      <c r="AE284" s="340"/>
      <c r="AI284" s="340"/>
      <c r="AN284" s="340"/>
      <c r="AO284" s="340"/>
      <c r="AS284" s="340"/>
      <c r="AX284" s="340"/>
      <c r="BB284" s="340"/>
      <c r="BD284" s="339"/>
    </row>
    <row r="285" spans="7:56" s="338" customFormat="1">
      <c r="G285" s="340"/>
      <c r="L285" s="340"/>
      <c r="P285" s="340"/>
      <c r="U285" s="340"/>
      <c r="V285" s="340"/>
      <c r="Z285" s="340"/>
      <c r="AE285" s="340"/>
      <c r="AI285" s="340"/>
      <c r="AN285" s="340"/>
      <c r="AO285" s="340"/>
      <c r="AS285" s="340"/>
      <c r="AX285" s="340"/>
      <c r="BB285" s="340"/>
      <c r="BD285" s="339"/>
    </row>
    <row r="286" spans="7:56" s="338" customFormat="1">
      <c r="G286" s="340"/>
      <c r="L286" s="340"/>
      <c r="P286" s="340"/>
      <c r="U286" s="340"/>
      <c r="V286" s="340"/>
      <c r="Z286" s="340"/>
      <c r="AE286" s="340"/>
      <c r="AI286" s="340"/>
      <c r="AN286" s="340"/>
      <c r="AO286" s="340"/>
      <c r="AS286" s="340"/>
      <c r="AX286" s="340"/>
      <c r="BB286" s="340"/>
      <c r="BD286" s="339"/>
    </row>
    <row r="287" spans="7:56" s="338" customFormat="1">
      <c r="G287" s="340"/>
      <c r="L287" s="340"/>
      <c r="P287" s="340"/>
      <c r="U287" s="340"/>
      <c r="V287" s="340"/>
      <c r="Z287" s="340"/>
      <c r="AE287" s="340"/>
      <c r="AI287" s="340"/>
      <c r="AN287" s="340"/>
      <c r="AO287" s="340"/>
      <c r="AS287" s="340"/>
      <c r="AX287" s="340"/>
      <c r="BB287" s="340"/>
      <c r="BD287" s="339"/>
    </row>
    <row r="288" spans="7:56" s="338" customFormat="1">
      <c r="G288" s="340"/>
      <c r="L288" s="340"/>
      <c r="P288" s="340"/>
      <c r="U288" s="340"/>
      <c r="V288" s="340"/>
      <c r="Z288" s="340"/>
      <c r="AE288" s="340"/>
      <c r="AI288" s="340"/>
      <c r="AN288" s="340"/>
      <c r="AO288" s="340"/>
      <c r="AS288" s="340"/>
      <c r="AX288" s="340"/>
      <c r="BB288" s="340"/>
      <c r="BD288" s="339"/>
    </row>
    <row r="289" spans="7:56" s="338" customFormat="1">
      <c r="G289" s="340"/>
      <c r="L289" s="340"/>
      <c r="P289" s="340"/>
      <c r="U289" s="340"/>
      <c r="V289" s="340"/>
      <c r="Z289" s="340"/>
      <c r="AE289" s="340"/>
      <c r="AI289" s="340"/>
      <c r="AN289" s="340"/>
      <c r="AO289" s="340"/>
      <c r="AS289" s="340"/>
      <c r="AX289" s="340"/>
      <c r="BB289" s="340"/>
      <c r="BD289" s="339"/>
    </row>
    <row r="290" spans="7:56" s="338" customFormat="1">
      <c r="G290" s="340"/>
      <c r="L290" s="340"/>
      <c r="P290" s="340"/>
      <c r="U290" s="340"/>
      <c r="V290" s="340"/>
      <c r="Z290" s="340"/>
      <c r="AE290" s="340"/>
      <c r="AI290" s="340"/>
      <c r="AN290" s="340"/>
      <c r="AO290" s="340"/>
      <c r="AS290" s="340"/>
      <c r="AX290" s="340"/>
      <c r="BB290" s="340"/>
      <c r="BD290" s="339"/>
    </row>
    <row r="291" spans="7:56" s="338" customFormat="1">
      <c r="G291" s="340"/>
      <c r="L291" s="340"/>
      <c r="P291" s="340"/>
      <c r="U291" s="340"/>
      <c r="V291" s="340"/>
      <c r="Z291" s="340"/>
      <c r="AE291" s="340"/>
      <c r="AI291" s="340"/>
      <c r="AN291" s="340"/>
      <c r="AO291" s="340"/>
      <c r="AS291" s="340"/>
      <c r="AX291" s="340"/>
      <c r="BB291" s="340"/>
      <c r="BD291" s="339"/>
    </row>
    <row r="292" spans="7:56" s="338" customFormat="1">
      <c r="G292" s="340"/>
      <c r="L292" s="340"/>
      <c r="P292" s="340"/>
      <c r="U292" s="340"/>
      <c r="V292" s="340"/>
      <c r="Z292" s="340"/>
      <c r="AE292" s="340"/>
      <c r="AI292" s="340"/>
      <c r="AN292" s="340"/>
      <c r="AO292" s="340"/>
      <c r="AS292" s="340"/>
      <c r="AX292" s="340"/>
      <c r="BB292" s="340"/>
      <c r="BD292" s="339"/>
    </row>
    <row r="293" spans="7:56" s="338" customFormat="1">
      <c r="G293" s="340"/>
      <c r="L293" s="340"/>
      <c r="P293" s="340"/>
      <c r="U293" s="340"/>
      <c r="V293" s="340"/>
      <c r="Z293" s="340"/>
      <c r="AE293" s="340"/>
      <c r="AI293" s="340"/>
      <c r="AN293" s="340"/>
      <c r="AO293" s="340"/>
      <c r="AS293" s="340"/>
      <c r="AX293" s="340"/>
      <c r="BB293" s="340"/>
      <c r="BD293" s="339"/>
    </row>
    <row r="294" spans="7:56" s="338" customFormat="1">
      <c r="G294" s="340"/>
      <c r="L294" s="340"/>
      <c r="P294" s="340"/>
      <c r="U294" s="340"/>
      <c r="V294" s="340"/>
      <c r="Z294" s="340"/>
      <c r="AE294" s="340"/>
      <c r="AI294" s="340"/>
      <c r="AN294" s="340"/>
      <c r="AO294" s="340"/>
      <c r="AS294" s="340"/>
      <c r="AX294" s="340"/>
      <c r="BB294" s="340"/>
      <c r="BD294" s="339"/>
    </row>
    <row r="295" spans="7:56" s="338" customFormat="1">
      <c r="G295" s="340"/>
      <c r="L295" s="340"/>
      <c r="P295" s="340"/>
      <c r="U295" s="340"/>
      <c r="V295" s="340"/>
      <c r="Z295" s="340"/>
      <c r="AE295" s="340"/>
      <c r="AI295" s="340"/>
      <c r="AN295" s="340"/>
      <c r="AO295" s="340"/>
      <c r="AS295" s="340"/>
      <c r="AX295" s="340"/>
      <c r="BB295" s="340"/>
      <c r="BD295" s="339"/>
    </row>
    <row r="296" spans="7:56" s="338" customFormat="1">
      <c r="G296" s="340"/>
      <c r="L296" s="340"/>
      <c r="P296" s="340"/>
      <c r="U296" s="340"/>
      <c r="V296" s="340"/>
      <c r="Z296" s="340"/>
      <c r="AE296" s="340"/>
      <c r="AI296" s="340"/>
      <c r="AN296" s="340"/>
      <c r="AO296" s="340"/>
      <c r="AS296" s="340"/>
      <c r="AX296" s="340"/>
      <c r="BB296" s="340"/>
      <c r="BD296" s="339"/>
    </row>
    <row r="297" spans="7:56" s="338" customFormat="1">
      <c r="G297" s="340"/>
      <c r="L297" s="340"/>
      <c r="P297" s="340"/>
      <c r="U297" s="340"/>
      <c r="V297" s="340"/>
      <c r="Z297" s="340"/>
      <c r="AE297" s="340"/>
      <c r="AI297" s="340"/>
      <c r="AN297" s="340"/>
      <c r="AO297" s="340"/>
      <c r="AS297" s="340"/>
      <c r="AX297" s="340"/>
      <c r="BB297" s="340"/>
      <c r="BD297" s="339"/>
    </row>
    <row r="298" spans="7:56" s="338" customFormat="1">
      <c r="G298" s="340"/>
      <c r="L298" s="340"/>
      <c r="P298" s="340"/>
      <c r="U298" s="340"/>
      <c r="V298" s="340"/>
      <c r="Z298" s="340"/>
      <c r="AE298" s="340"/>
      <c r="AI298" s="340"/>
      <c r="AN298" s="340"/>
      <c r="AO298" s="340"/>
      <c r="AS298" s="340"/>
      <c r="AX298" s="340"/>
      <c r="BB298" s="340"/>
      <c r="BD298" s="339"/>
    </row>
    <row r="299" spans="7:56" s="338" customFormat="1">
      <c r="G299" s="340"/>
      <c r="L299" s="340"/>
      <c r="P299" s="340"/>
      <c r="U299" s="340"/>
      <c r="V299" s="340"/>
      <c r="Z299" s="340"/>
      <c r="AE299" s="340"/>
      <c r="AI299" s="340"/>
      <c r="AN299" s="340"/>
      <c r="AO299" s="340"/>
      <c r="AS299" s="340"/>
      <c r="AX299" s="340"/>
      <c r="BB299" s="340"/>
      <c r="BD299" s="339"/>
    </row>
    <row r="300" spans="7:56" s="338" customFormat="1">
      <c r="G300" s="340"/>
      <c r="L300" s="340"/>
      <c r="P300" s="340"/>
      <c r="U300" s="340"/>
      <c r="V300" s="340"/>
      <c r="Z300" s="340"/>
      <c r="AE300" s="340"/>
      <c r="AI300" s="340"/>
      <c r="AN300" s="340"/>
      <c r="AO300" s="340"/>
      <c r="AS300" s="340"/>
      <c r="AX300" s="340"/>
      <c r="BB300" s="340"/>
      <c r="BD300" s="339"/>
    </row>
    <row r="301" spans="7:56" s="338" customFormat="1">
      <c r="G301" s="340"/>
      <c r="L301" s="340"/>
      <c r="P301" s="340"/>
      <c r="U301" s="340"/>
      <c r="V301" s="340"/>
      <c r="Z301" s="340"/>
      <c r="AE301" s="340"/>
      <c r="AI301" s="340"/>
      <c r="AN301" s="340"/>
      <c r="AO301" s="340"/>
      <c r="AS301" s="340"/>
      <c r="AX301" s="340"/>
      <c r="BB301" s="340"/>
      <c r="BD301" s="339"/>
    </row>
    <row r="302" spans="7:56" s="338" customFormat="1">
      <c r="G302" s="340"/>
      <c r="L302" s="340"/>
      <c r="P302" s="340"/>
      <c r="U302" s="340"/>
      <c r="V302" s="340"/>
      <c r="Z302" s="340"/>
      <c r="AE302" s="340"/>
      <c r="AI302" s="340"/>
      <c r="AN302" s="340"/>
      <c r="AO302" s="340"/>
      <c r="AS302" s="340"/>
      <c r="AX302" s="340"/>
      <c r="BB302" s="340"/>
      <c r="BD302" s="339"/>
    </row>
    <row r="303" spans="7:56" s="338" customFormat="1">
      <c r="G303" s="340"/>
      <c r="L303" s="340"/>
      <c r="P303" s="340"/>
      <c r="U303" s="340"/>
      <c r="V303" s="340"/>
      <c r="Z303" s="340"/>
      <c r="AE303" s="340"/>
      <c r="AI303" s="340"/>
      <c r="AN303" s="340"/>
      <c r="AO303" s="340"/>
      <c r="AS303" s="340"/>
      <c r="AX303" s="340"/>
      <c r="BB303" s="340"/>
      <c r="BD303" s="339"/>
    </row>
    <row r="304" spans="7:56" s="338" customFormat="1">
      <c r="G304" s="340"/>
      <c r="L304" s="340"/>
      <c r="P304" s="340"/>
      <c r="U304" s="340"/>
      <c r="V304" s="340"/>
      <c r="Z304" s="340"/>
      <c r="AE304" s="340"/>
      <c r="AI304" s="340"/>
      <c r="AN304" s="340"/>
      <c r="AO304" s="340"/>
      <c r="AS304" s="340"/>
      <c r="AX304" s="340"/>
      <c r="BB304" s="340"/>
      <c r="BD304" s="339"/>
    </row>
    <row r="305" spans="7:56" s="338" customFormat="1">
      <c r="G305" s="340"/>
      <c r="L305" s="340"/>
      <c r="P305" s="340"/>
      <c r="U305" s="340"/>
      <c r="V305" s="340"/>
      <c r="Z305" s="340"/>
      <c r="AE305" s="340"/>
      <c r="AI305" s="340"/>
      <c r="AN305" s="340"/>
      <c r="AO305" s="340"/>
      <c r="AS305" s="340"/>
      <c r="AX305" s="340"/>
      <c r="BB305" s="340"/>
      <c r="BD305" s="339"/>
    </row>
    <row r="306" spans="7:56" s="338" customFormat="1">
      <c r="G306" s="340"/>
      <c r="L306" s="340"/>
      <c r="P306" s="340"/>
      <c r="U306" s="340"/>
      <c r="V306" s="340"/>
      <c r="Z306" s="340"/>
      <c r="AE306" s="340"/>
      <c r="AI306" s="340"/>
      <c r="AN306" s="340"/>
      <c r="AO306" s="340"/>
      <c r="AS306" s="340"/>
      <c r="AX306" s="340"/>
      <c r="BB306" s="340"/>
      <c r="BD306" s="339"/>
    </row>
    <row r="307" spans="7:56" s="338" customFormat="1">
      <c r="G307" s="340"/>
      <c r="L307" s="340"/>
      <c r="P307" s="340"/>
      <c r="U307" s="340"/>
      <c r="V307" s="340"/>
      <c r="Z307" s="340"/>
      <c r="AE307" s="340"/>
      <c r="AI307" s="340"/>
      <c r="AN307" s="340"/>
      <c r="AO307" s="340"/>
      <c r="AS307" s="340"/>
      <c r="AX307" s="340"/>
      <c r="BB307" s="340"/>
      <c r="BD307" s="339"/>
    </row>
    <row r="308" spans="7:56" s="338" customFormat="1">
      <c r="G308" s="340"/>
      <c r="L308" s="340"/>
      <c r="P308" s="340"/>
      <c r="U308" s="340"/>
      <c r="V308" s="340"/>
      <c r="Z308" s="340"/>
      <c r="AE308" s="340"/>
      <c r="AI308" s="340"/>
      <c r="AN308" s="340"/>
      <c r="AO308" s="340"/>
      <c r="AS308" s="340"/>
      <c r="AX308" s="340"/>
      <c r="BB308" s="340"/>
      <c r="BD308" s="339"/>
    </row>
    <row r="309" spans="7:56" s="338" customFormat="1">
      <c r="G309" s="340"/>
      <c r="L309" s="340"/>
      <c r="P309" s="340"/>
      <c r="U309" s="340"/>
      <c r="V309" s="340"/>
      <c r="Z309" s="340"/>
      <c r="AE309" s="340"/>
      <c r="AI309" s="340"/>
      <c r="AN309" s="340"/>
      <c r="AO309" s="340"/>
      <c r="AS309" s="340"/>
      <c r="AX309" s="340"/>
      <c r="BB309" s="340"/>
      <c r="BD309" s="339"/>
    </row>
    <row r="310" spans="7:56" s="338" customFormat="1">
      <c r="G310" s="340"/>
      <c r="L310" s="340"/>
      <c r="P310" s="340"/>
      <c r="U310" s="340"/>
      <c r="V310" s="340"/>
      <c r="Z310" s="340"/>
      <c r="AE310" s="340"/>
      <c r="AI310" s="340"/>
      <c r="AN310" s="340"/>
      <c r="AO310" s="340"/>
      <c r="AS310" s="340"/>
      <c r="AX310" s="340"/>
      <c r="BB310" s="340"/>
      <c r="BD310" s="339"/>
    </row>
    <row r="311" spans="7:56" s="338" customFormat="1">
      <c r="G311" s="340"/>
      <c r="L311" s="340"/>
      <c r="P311" s="340"/>
      <c r="U311" s="340"/>
      <c r="V311" s="340"/>
      <c r="Z311" s="340"/>
      <c r="AE311" s="340"/>
      <c r="AI311" s="340"/>
      <c r="AN311" s="340"/>
      <c r="AO311" s="340"/>
      <c r="AS311" s="340"/>
      <c r="AX311" s="340"/>
      <c r="BB311" s="340"/>
      <c r="BD311" s="339"/>
    </row>
    <row r="312" spans="7:56" s="338" customFormat="1">
      <c r="G312" s="340"/>
      <c r="L312" s="340"/>
      <c r="P312" s="340"/>
      <c r="U312" s="340"/>
      <c r="V312" s="340"/>
      <c r="Z312" s="340"/>
      <c r="AE312" s="340"/>
      <c r="AI312" s="340"/>
      <c r="AN312" s="340"/>
      <c r="AO312" s="340"/>
      <c r="AS312" s="340"/>
      <c r="AX312" s="340"/>
      <c r="BB312" s="340"/>
      <c r="BD312" s="339"/>
    </row>
    <row r="313" spans="7:56" s="338" customFormat="1">
      <c r="G313" s="340"/>
      <c r="L313" s="340"/>
      <c r="P313" s="340"/>
      <c r="U313" s="340"/>
      <c r="V313" s="340"/>
      <c r="Z313" s="340"/>
      <c r="AE313" s="340"/>
      <c r="AI313" s="340"/>
      <c r="AN313" s="340"/>
      <c r="AO313" s="340"/>
      <c r="AS313" s="340"/>
      <c r="AX313" s="340"/>
      <c r="BB313" s="340"/>
      <c r="BD313" s="339"/>
    </row>
    <row r="314" spans="7:56" s="338" customFormat="1">
      <c r="G314" s="340"/>
      <c r="L314" s="340"/>
      <c r="P314" s="340"/>
      <c r="U314" s="340"/>
      <c r="V314" s="340"/>
      <c r="Z314" s="340"/>
      <c r="AE314" s="340"/>
      <c r="AI314" s="340"/>
      <c r="AN314" s="340"/>
      <c r="AO314" s="340"/>
      <c r="AS314" s="340"/>
      <c r="AX314" s="340"/>
      <c r="BB314" s="340"/>
      <c r="BD314" s="339"/>
    </row>
    <row r="315" spans="7:56" s="338" customFormat="1">
      <c r="G315" s="340"/>
      <c r="L315" s="340"/>
      <c r="P315" s="340"/>
      <c r="U315" s="340"/>
      <c r="V315" s="340"/>
      <c r="Z315" s="340"/>
      <c r="AE315" s="340"/>
      <c r="AI315" s="340"/>
      <c r="AN315" s="340"/>
      <c r="AO315" s="340"/>
      <c r="AS315" s="340"/>
      <c r="AX315" s="340"/>
      <c r="BB315" s="340"/>
      <c r="BD315" s="339"/>
    </row>
    <row r="316" spans="7:56" s="338" customFormat="1">
      <c r="G316" s="340"/>
      <c r="L316" s="340"/>
      <c r="P316" s="340"/>
      <c r="U316" s="340"/>
      <c r="V316" s="340"/>
      <c r="Z316" s="340"/>
      <c r="AE316" s="340"/>
      <c r="AI316" s="340"/>
      <c r="AN316" s="340"/>
      <c r="AO316" s="340"/>
      <c r="AS316" s="340"/>
      <c r="AX316" s="340"/>
      <c r="BB316" s="340"/>
      <c r="BD316" s="339"/>
    </row>
    <row r="317" spans="7:56" s="338" customFormat="1">
      <c r="G317" s="340"/>
      <c r="L317" s="340"/>
      <c r="P317" s="340"/>
      <c r="U317" s="340"/>
      <c r="V317" s="340"/>
      <c r="Z317" s="340"/>
      <c r="AE317" s="340"/>
      <c r="AI317" s="340"/>
      <c r="AN317" s="340"/>
      <c r="AO317" s="340"/>
      <c r="AS317" s="340"/>
      <c r="AX317" s="340"/>
      <c r="BB317" s="340"/>
      <c r="BD317" s="339"/>
    </row>
    <row r="318" spans="7:56" s="338" customFormat="1">
      <c r="G318" s="340"/>
      <c r="L318" s="340"/>
      <c r="P318" s="340"/>
      <c r="U318" s="340"/>
      <c r="V318" s="340"/>
      <c r="Z318" s="340"/>
      <c r="AE318" s="340"/>
      <c r="AI318" s="340"/>
      <c r="AN318" s="340"/>
      <c r="AO318" s="340"/>
      <c r="AS318" s="340"/>
      <c r="AX318" s="340"/>
      <c r="BB318" s="340"/>
      <c r="BD318" s="339"/>
    </row>
    <row r="319" spans="7:56" s="338" customFormat="1">
      <c r="G319" s="340"/>
      <c r="L319" s="340"/>
      <c r="P319" s="340"/>
      <c r="U319" s="340"/>
      <c r="V319" s="340"/>
      <c r="Z319" s="340"/>
      <c r="AE319" s="340"/>
      <c r="AI319" s="340"/>
      <c r="AN319" s="340"/>
      <c r="AO319" s="340"/>
      <c r="AS319" s="340"/>
      <c r="AX319" s="340"/>
      <c r="BB319" s="340"/>
      <c r="BD319" s="339"/>
    </row>
    <row r="320" spans="7:56" s="338" customFormat="1">
      <c r="G320" s="340"/>
      <c r="L320" s="340"/>
      <c r="P320" s="340"/>
      <c r="U320" s="340"/>
      <c r="V320" s="340"/>
      <c r="Z320" s="340"/>
      <c r="AE320" s="340"/>
      <c r="AI320" s="340"/>
      <c r="AN320" s="340"/>
      <c r="AO320" s="340"/>
      <c r="AS320" s="340"/>
      <c r="AX320" s="340"/>
      <c r="BB320" s="340"/>
      <c r="BD320" s="339"/>
    </row>
    <row r="321" spans="7:56" s="338" customFormat="1">
      <c r="G321" s="340"/>
      <c r="L321" s="340"/>
      <c r="P321" s="340"/>
      <c r="U321" s="340"/>
      <c r="V321" s="340"/>
      <c r="Z321" s="340"/>
      <c r="AE321" s="340"/>
      <c r="AI321" s="340"/>
      <c r="AN321" s="340"/>
      <c r="AO321" s="340"/>
      <c r="AS321" s="340"/>
      <c r="AX321" s="340"/>
      <c r="BB321" s="340"/>
      <c r="BD321" s="339"/>
    </row>
    <row r="322" spans="7:56" s="338" customFormat="1">
      <c r="G322" s="340"/>
      <c r="L322" s="340"/>
      <c r="P322" s="340"/>
      <c r="U322" s="340"/>
      <c r="V322" s="340"/>
      <c r="Z322" s="340"/>
      <c r="AE322" s="340"/>
      <c r="AI322" s="340"/>
      <c r="AN322" s="340"/>
      <c r="AO322" s="340"/>
      <c r="AS322" s="340"/>
      <c r="AX322" s="340"/>
      <c r="BB322" s="340"/>
      <c r="BD322" s="339"/>
    </row>
    <row r="323" spans="7:56" s="338" customFormat="1">
      <c r="G323" s="340"/>
      <c r="L323" s="340"/>
      <c r="P323" s="340"/>
      <c r="U323" s="340"/>
      <c r="V323" s="340"/>
      <c r="Z323" s="340"/>
      <c r="AE323" s="340"/>
      <c r="AI323" s="340"/>
      <c r="AN323" s="340"/>
      <c r="AO323" s="340"/>
      <c r="AS323" s="340"/>
      <c r="AX323" s="340"/>
      <c r="BB323" s="340"/>
      <c r="BD323" s="339"/>
    </row>
    <row r="324" spans="7:56" s="338" customFormat="1">
      <c r="G324" s="340"/>
      <c r="L324" s="340"/>
      <c r="P324" s="340"/>
      <c r="U324" s="340"/>
      <c r="V324" s="340"/>
      <c r="Z324" s="340"/>
      <c r="AE324" s="340"/>
      <c r="AI324" s="340"/>
      <c r="AN324" s="340"/>
      <c r="AO324" s="340"/>
      <c r="AS324" s="340"/>
      <c r="AX324" s="340"/>
      <c r="BB324" s="340"/>
      <c r="BD324" s="339"/>
    </row>
    <row r="325" spans="7:56" s="338" customFormat="1">
      <c r="G325" s="340"/>
      <c r="L325" s="340"/>
      <c r="P325" s="340"/>
      <c r="U325" s="340"/>
      <c r="V325" s="340"/>
      <c r="Z325" s="340"/>
      <c r="AE325" s="340"/>
      <c r="AI325" s="340"/>
      <c r="AN325" s="340"/>
      <c r="AO325" s="340"/>
      <c r="AS325" s="340"/>
      <c r="AX325" s="340"/>
      <c r="BB325" s="340"/>
      <c r="BD325" s="339"/>
    </row>
    <row r="326" spans="7:56" s="338" customFormat="1">
      <c r="G326" s="340"/>
      <c r="L326" s="340"/>
      <c r="P326" s="340"/>
      <c r="U326" s="340"/>
      <c r="V326" s="340"/>
      <c r="Z326" s="340"/>
      <c r="AE326" s="340"/>
      <c r="AI326" s="340"/>
      <c r="AN326" s="340"/>
      <c r="AO326" s="340"/>
      <c r="AS326" s="340"/>
      <c r="AX326" s="340"/>
      <c r="BB326" s="340"/>
      <c r="BD326" s="339"/>
    </row>
    <row r="327" spans="7:56" s="338" customFormat="1">
      <c r="G327" s="340"/>
      <c r="L327" s="340"/>
      <c r="P327" s="340"/>
      <c r="U327" s="340"/>
      <c r="V327" s="340"/>
      <c r="Z327" s="340"/>
      <c r="AE327" s="340"/>
      <c r="AI327" s="340"/>
      <c r="AN327" s="340"/>
      <c r="AO327" s="340"/>
      <c r="AS327" s="340"/>
      <c r="AX327" s="340"/>
      <c r="BB327" s="340"/>
      <c r="BD327" s="339"/>
    </row>
    <row r="328" spans="7:56" s="338" customFormat="1">
      <c r="G328" s="340"/>
      <c r="L328" s="340"/>
      <c r="P328" s="340"/>
      <c r="U328" s="340"/>
      <c r="V328" s="340"/>
      <c r="Z328" s="340"/>
      <c r="AE328" s="340"/>
      <c r="AI328" s="340"/>
      <c r="AN328" s="340"/>
      <c r="AO328" s="340"/>
      <c r="AS328" s="340"/>
      <c r="AX328" s="340"/>
      <c r="BB328" s="340"/>
      <c r="BD328" s="339"/>
    </row>
    <row r="329" spans="7:56" s="338" customFormat="1">
      <c r="G329" s="340"/>
      <c r="L329" s="340"/>
      <c r="P329" s="340"/>
      <c r="U329" s="340"/>
      <c r="V329" s="340"/>
      <c r="Z329" s="340"/>
      <c r="AE329" s="340"/>
      <c r="AI329" s="340"/>
      <c r="AN329" s="340"/>
      <c r="AO329" s="340"/>
      <c r="AS329" s="340"/>
      <c r="AX329" s="340"/>
      <c r="BB329" s="340"/>
      <c r="BD329" s="339"/>
    </row>
    <row r="330" spans="7:56" s="338" customFormat="1">
      <c r="G330" s="340"/>
      <c r="L330" s="340"/>
      <c r="P330" s="340"/>
      <c r="U330" s="340"/>
      <c r="V330" s="340"/>
      <c r="Z330" s="340"/>
      <c r="AE330" s="340"/>
      <c r="AI330" s="340"/>
      <c r="AN330" s="340"/>
      <c r="AO330" s="340"/>
      <c r="AS330" s="340"/>
      <c r="AX330" s="340"/>
      <c r="BB330" s="340"/>
      <c r="BD330" s="339"/>
    </row>
    <row r="331" spans="7:56" s="338" customFormat="1">
      <c r="G331" s="340"/>
      <c r="L331" s="340"/>
      <c r="P331" s="340"/>
      <c r="U331" s="340"/>
      <c r="V331" s="340"/>
      <c r="Z331" s="340"/>
      <c r="AE331" s="340"/>
      <c r="AI331" s="340"/>
      <c r="AN331" s="340"/>
      <c r="AO331" s="340"/>
      <c r="AS331" s="340"/>
      <c r="AX331" s="340"/>
      <c r="BB331" s="340"/>
      <c r="BD331" s="339"/>
    </row>
    <row r="332" spans="7:56" s="338" customFormat="1">
      <c r="G332" s="340"/>
      <c r="L332" s="340"/>
      <c r="P332" s="340"/>
      <c r="U332" s="340"/>
      <c r="V332" s="340"/>
      <c r="Z332" s="340"/>
      <c r="AE332" s="340"/>
      <c r="AI332" s="340"/>
      <c r="AN332" s="340"/>
      <c r="AO332" s="340"/>
      <c r="AS332" s="340"/>
      <c r="AX332" s="340"/>
      <c r="BB332" s="340"/>
      <c r="BD332" s="339"/>
    </row>
    <row r="333" spans="7:56" s="338" customFormat="1">
      <c r="G333" s="340"/>
      <c r="L333" s="340"/>
      <c r="P333" s="340"/>
      <c r="U333" s="340"/>
      <c r="V333" s="340"/>
      <c r="Z333" s="340"/>
      <c r="AE333" s="340"/>
      <c r="AI333" s="340"/>
      <c r="AN333" s="340"/>
      <c r="AO333" s="340"/>
      <c r="AS333" s="340"/>
      <c r="AX333" s="340"/>
      <c r="BB333" s="340"/>
      <c r="BD333" s="339"/>
    </row>
    <row r="334" spans="7:56" s="338" customFormat="1">
      <c r="G334" s="340"/>
      <c r="L334" s="340"/>
      <c r="P334" s="340"/>
      <c r="U334" s="340"/>
      <c r="V334" s="340"/>
      <c r="Z334" s="340"/>
      <c r="AE334" s="340"/>
      <c r="AI334" s="340"/>
      <c r="AN334" s="340"/>
      <c r="AO334" s="340"/>
      <c r="AS334" s="340"/>
      <c r="AX334" s="340"/>
      <c r="BB334" s="340"/>
      <c r="BD334" s="339"/>
    </row>
    <row r="335" spans="7:56" s="338" customFormat="1">
      <c r="G335" s="340"/>
      <c r="L335" s="340"/>
      <c r="P335" s="340"/>
      <c r="U335" s="340"/>
      <c r="V335" s="340"/>
      <c r="Z335" s="340"/>
      <c r="AE335" s="340"/>
      <c r="AI335" s="340"/>
      <c r="AN335" s="340"/>
      <c r="AO335" s="340"/>
      <c r="AS335" s="340"/>
      <c r="AX335" s="340"/>
      <c r="BB335" s="340"/>
      <c r="BD335" s="339"/>
    </row>
    <row r="336" spans="7:56" s="338" customFormat="1">
      <c r="G336" s="340"/>
      <c r="L336" s="340"/>
      <c r="P336" s="340"/>
      <c r="U336" s="340"/>
      <c r="V336" s="340"/>
      <c r="Z336" s="340"/>
      <c r="AE336" s="340"/>
      <c r="AI336" s="340"/>
      <c r="AN336" s="340"/>
      <c r="AO336" s="340"/>
      <c r="AS336" s="340"/>
      <c r="AX336" s="340"/>
      <c r="BB336" s="340"/>
      <c r="BD336" s="339"/>
    </row>
    <row r="337" spans="7:56" s="338" customFormat="1">
      <c r="G337" s="340"/>
      <c r="L337" s="340"/>
      <c r="P337" s="340"/>
      <c r="U337" s="340"/>
      <c r="V337" s="340"/>
      <c r="Z337" s="340"/>
      <c r="AE337" s="340"/>
      <c r="AI337" s="340"/>
      <c r="AN337" s="340"/>
      <c r="AO337" s="340"/>
      <c r="AS337" s="340"/>
      <c r="AX337" s="340"/>
      <c r="BB337" s="340"/>
      <c r="BD337" s="339"/>
    </row>
    <row r="338" spans="7:56" s="338" customFormat="1">
      <c r="G338" s="340"/>
      <c r="L338" s="340"/>
      <c r="P338" s="340"/>
      <c r="U338" s="340"/>
      <c r="V338" s="340"/>
      <c r="Z338" s="340"/>
      <c r="AE338" s="340"/>
      <c r="AI338" s="340"/>
      <c r="AN338" s="340"/>
      <c r="AO338" s="340"/>
      <c r="AS338" s="340"/>
      <c r="AX338" s="340"/>
      <c r="BB338" s="340"/>
      <c r="BD338" s="339"/>
    </row>
    <row r="339" spans="7:56" s="338" customFormat="1">
      <c r="G339" s="340"/>
      <c r="L339" s="340"/>
      <c r="P339" s="340"/>
      <c r="U339" s="340"/>
      <c r="V339" s="340"/>
      <c r="Z339" s="340"/>
      <c r="AE339" s="340"/>
      <c r="AI339" s="340"/>
      <c r="AN339" s="340"/>
      <c r="AO339" s="340"/>
      <c r="AS339" s="340"/>
      <c r="AX339" s="340"/>
      <c r="BB339" s="340"/>
      <c r="BD339" s="339"/>
    </row>
    <row r="340" spans="7:56" s="338" customFormat="1">
      <c r="G340" s="340"/>
      <c r="L340" s="340"/>
      <c r="P340" s="340"/>
      <c r="U340" s="340"/>
      <c r="V340" s="340"/>
      <c r="Z340" s="340"/>
      <c r="AE340" s="340"/>
      <c r="AI340" s="340"/>
      <c r="AN340" s="340"/>
      <c r="AO340" s="340"/>
      <c r="AS340" s="340"/>
      <c r="AX340" s="340"/>
      <c r="BB340" s="340"/>
      <c r="BD340" s="339"/>
    </row>
    <row r="341" spans="7:56" s="338" customFormat="1">
      <c r="G341" s="340"/>
      <c r="L341" s="340"/>
      <c r="P341" s="340"/>
      <c r="U341" s="340"/>
      <c r="V341" s="340"/>
      <c r="Z341" s="340"/>
      <c r="AE341" s="340"/>
      <c r="AI341" s="340"/>
      <c r="AN341" s="340"/>
      <c r="AO341" s="340"/>
      <c r="AS341" s="340"/>
      <c r="AX341" s="340"/>
      <c r="BB341" s="340"/>
      <c r="BD341" s="339"/>
    </row>
    <row r="342" spans="7:56" s="338" customFormat="1">
      <c r="G342" s="340"/>
      <c r="L342" s="340"/>
      <c r="P342" s="340"/>
      <c r="U342" s="340"/>
      <c r="V342" s="340"/>
      <c r="Z342" s="340"/>
      <c r="AE342" s="340"/>
      <c r="AI342" s="340"/>
      <c r="AN342" s="340"/>
      <c r="AO342" s="340"/>
      <c r="AS342" s="340"/>
      <c r="AX342" s="340"/>
      <c r="BB342" s="340"/>
      <c r="BD342" s="339"/>
    </row>
    <row r="343" spans="7:56" s="338" customFormat="1">
      <c r="G343" s="340"/>
      <c r="L343" s="340"/>
      <c r="P343" s="340"/>
      <c r="U343" s="340"/>
      <c r="V343" s="340"/>
      <c r="Z343" s="340"/>
      <c r="AE343" s="340"/>
      <c r="AI343" s="340"/>
      <c r="AN343" s="340"/>
      <c r="AO343" s="340"/>
      <c r="AS343" s="340"/>
      <c r="AX343" s="340"/>
      <c r="BB343" s="340"/>
      <c r="BD343" s="339"/>
    </row>
    <row r="344" spans="7:56" s="338" customFormat="1">
      <c r="G344" s="340"/>
      <c r="L344" s="340"/>
      <c r="P344" s="340"/>
      <c r="U344" s="340"/>
      <c r="V344" s="340"/>
      <c r="Z344" s="340"/>
      <c r="AE344" s="340"/>
      <c r="AI344" s="340"/>
      <c r="AN344" s="340"/>
      <c r="AO344" s="340"/>
      <c r="AS344" s="340"/>
      <c r="AX344" s="340"/>
      <c r="BB344" s="340"/>
      <c r="BD344" s="339"/>
    </row>
    <row r="345" spans="7:56" s="338" customFormat="1">
      <c r="G345" s="340"/>
      <c r="L345" s="340"/>
      <c r="P345" s="340"/>
      <c r="U345" s="340"/>
      <c r="V345" s="340"/>
      <c r="Z345" s="340"/>
      <c r="AE345" s="340"/>
      <c r="AI345" s="340"/>
      <c r="AN345" s="340"/>
      <c r="AO345" s="340"/>
      <c r="AS345" s="340"/>
      <c r="AX345" s="340"/>
      <c r="BB345" s="340"/>
      <c r="BD345" s="339"/>
    </row>
    <row r="346" spans="7:56" s="338" customFormat="1">
      <c r="G346" s="340"/>
      <c r="L346" s="340"/>
      <c r="P346" s="340"/>
      <c r="U346" s="340"/>
      <c r="V346" s="340"/>
      <c r="Z346" s="340"/>
      <c r="AE346" s="340"/>
      <c r="AI346" s="340"/>
      <c r="AN346" s="340"/>
      <c r="AO346" s="340"/>
      <c r="AS346" s="340"/>
      <c r="AX346" s="340"/>
      <c r="BB346" s="340"/>
      <c r="BD346" s="339"/>
    </row>
    <row r="347" spans="7:56" s="338" customFormat="1">
      <c r="G347" s="340"/>
      <c r="L347" s="340"/>
      <c r="P347" s="340"/>
      <c r="U347" s="340"/>
      <c r="V347" s="340"/>
      <c r="Z347" s="340"/>
      <c r="AE347" s="340"/>
      <c r="AI347" s="340"/>
      <c r="AN347" s="340"/>
      <c r="AO347" s="340"/>
      <c r="AS347" s="340"/>
      <c r="AX347" s="340"/>
      <c r="BB347" s="340"/>
      <c r="BD347" s="339"/>
    </row>
    <row r="348" spans="7:56" s="338" customFormat="1">
      <c r="G348" s="340"/>
      <c r="L348" s="340"/>
      <c r="P348" s="340"/>
      <c r="U348" s="340"/>
      <c r="V348" s="340"/>
      <c r="Z348" s="340"/>
      <c r="AE348" s="340"/>
      <c r="AI348" s="340"/>
      <c r="AN348" s="340"/>
      <c r="AO348" s="340"/>
      <c r="AS348" s="340"/>
      <c r="AX348" s="340"/>
      <c r="BB348" s="340"/>
      <c r="BD348" s="339"/>
    </row>
    <row r="349" spans="7:56" s="338" customFormat="1">
      <c r="G349" s="340"/>
      <c r="L349" s="340"/>
      <c r="P349" s="340"/>
      <c r="U349" s="340"/>
      <c r="V349" s="340"/>
      <c r="Z349" s="340"/>
      <c r="AE349" s="340"/>
      <c r="AI349" s="340"/>
      <c r="AN349" s="340"/>
      <c r="AO349" s="340"/>
      <c r="AS349" s="340"/>
      <c r="AX349" s="340"/>
      <c r="BB349" s="340"/>
      <c r="BD349" s="339"/>
    </row>
    <row r="350" spans="7:56" s="338" customFormat="1">
      <c r="G350" s="340"/>
      <c r="L350" s="340"/>
      <c r="P350" s="340"/>
      <c r="U350" s="340"/>
      <c r="V350" s="340"/>
      <c r="Z350" s="340"/>
      <c r="AE350" s="340"/>
      <c r="AI350" s="340"/>
      <c r="AN350" s="340"/>
      <c r="AO350" s="340"/>
      <c r="AS350" s="340"/>
      <c r="AX350" s="340"/>
      <c r="BB350" s="340"/>
      <c r="BD350" s="339"/>
    </row>
    <row r="351" spans="7:56" s="338" customFormat="1">
      <c r="G351" s="340"/>
      <c r="L351" s="340"/>
      <c r="P351" s="340"/>
      <c r="U351" s="340"/>
      <c r="V351" s="340"/>
      <c r="Z351" s="340"/>
      <c r="AE351" s="340"/>
      <c r="AI351" s="340"/>
      <c r="AN351" s="340"/>
      <c r="AO351" s="340"/>
      <c r="AS351" s="340"/>
      <c r="AX351" s="340"/>
      <c r="BB351" s="340"/>
      <c r="BD351" s="339"/>
    </row>
    <row r="352" spans="7:56" s="338" customFormat="1">
      <c r="G352" s="340"/>
      <c r="L352" s="340"/>
      <c r="P352" s="340"/>
      <c r="U352" s="340"/>
      <c r="V352" s="340"/>
      <c r="Z352" s="340"/>
      <c r="AE352" s="340"/>
      <c r="AI352" s="340"/>
      <c r="AN352" s="340"/>
      <c r="AO352" s="340"/>
      <c r="AS352" s="340"/>
      <c r="AX352" s="340"/>
      <c r="BB352" s="340"/>
      <c r="BD352" s="339"/>
    </row>
    <row r="353" spans="7:56" s="338" customFormat="1">
      <c r="G353" s="340"/>
      <c r="L353" s="340"/>
      <c r="P353" s="340"/>
      <c r="U353" s="340"/>
      <c r="V353" s="340"/>
      <c r="Z353" s="340"/>
      <c r="AE353" s="340"/>
      <c r="AI353" s="340"/>
      <c r="AN353" s="340"/>
      <c r="AO353" s="340"/>
      <c r="AS353" s="340"/>
      <c r="AX353" s="340"/>
      <c r="BB353" s="340"/>
      <c r="BD353" s="339"/>
    </row>
    <row r="354" spans="7:56" s="338" customFormat="1">
      <c r="G354" s="340"/>
      <c r="L354" s="340"/>
      <c r="P354" s="340"/>
      <c r="U354" s="340"/>
      <c r="V354" s="340"/>
      <c r="Z354" s="340"/>
      <c r="AE354" s="340"/>
      <c r="AI354" s="340"/>
      <c r="AN354" s="340"/>
      <c r="AO354" s="340"/>
      <c r="AS354" s="340"/>
      <c r="AX354" s="340"/>
      <c r="BB354" s="340"/>
      <c r="BD354" s="339"/>
    </row>
    <row r="355" spans="7:56" s="338" customFormat="1">
      <c r="G355" s="340"/>
      <c r="L355" s="340"/>
      <c r="P355" s="340"/>
      <c r="U355" s="340"/>
      <c r="V355" s="340"/>
      <c r="Z355" s="340"/>
      <c r="AE355" s="340"/>
      <c r="AI355" s="340"/>
      <c r="AN355" s="340"/>
      <c r="AO355" s="340"/>
      <c r="AS355" s="340"/>
      <c r="AX355" s="340"/>
      <c r="BB355" s="340"/>
      <c r="BD355" s="339"/>
    </row>
    <row r="356" spans="7:56" s="338" customFormat="1">
      <c r="G356" s="340"/>
      <c r="L356" s="340"/>
      <c r="P356" s="340"/>
      <c r="U356" s="340"/>
      <c r="V356" s="340"/>
      <c r="Z356" s="340"/>
      <c r="AE356" s="340"/>
      <c r="AI356" s="340"/>
      <c r="AN356" s="340"/>
      <c r="AO356" s="340"/>
      <c r="AS356" s="340"/>
      <c r="AX356" s="340"/>
      <c r="BB356" s="340"/>
      <c r="BD356" s="339"/>
    </row>
    <row r="357" spans="7:56" s="338" customFormat="1">
      <c r="G357" s="340"/>
      <c r="L357" s="340"/>
      <c r="P357" s="340"/>
      <c r="U357" s="340"/>
      <c r="V357" s="340"/>
      <c r="Z357" s="340"/>
      <c r="AE357" s="340"/>
      <c r="AI357" s="340"/>
      <c r="AN357" s="340"/>
      <c r="AO357" s="340"/>
      <c r="AS357" s="340"/>
      <c r="AX357" s="340"/>
      <c r="BB357" s="340"/>
      <c r="BD357" s="339"/>
    </row>
    <row r="358" spans="7:56" s="338" customFormat="1">
      <c r="G358" s="340"/>
      <c r="L358" s="340"/>
      <c r="P358" s="340"/>
      <c r="U358" s="340"/>
      <c r="V358" s="340"/>
      <c r="Z358" s="340"/>
      <c r="AE358" s="340"/>
      <c r="AI358" s="340"/>
      <c r="AN358" s="340"/>
      <c r="AO358" s="340"/>
      <c r="AS358" s="340"/>
      <c r="AX358" s="340"/>
      <c r="BB358" s="340"/>
      <c r="BD358" s="339"/>
    </row>
    <row r="359" spans="7:56" s="338" customFormat="1">
      <c r="G359" s="340"/>
      <c r="L359" s="340"/>
      <c r="P359" s="340"/>
      <c r="U359" s="340"/>
      <c r="V359" s="340"/>
      <c r="Z359" s="340"/>
      <c r="AE359" s="340"/>
      <c r="AI359" s="340"/>
      <c r="AN359" s="340"/>
      <c r="AO359" s="340"/>
      <c r="AS359" s="340"/>
      <c r="AX359" s="340"/>
      <c r="BB359" s="340"/>
      <c r="BD359" s="339"/>
    </row>
    <row r="360" spans="7:56" s="338" customFormat="1">
      <c r="G360" s="340"/>
      <c r="L360" s="340"/>
      <c r="P360" s="340"/>
      <c r="U360" s="340"/>
      <c r="V360" s="340"/>
      <c r="Z360" s="340"/>
      <c r="AE360" s="340"/>
      <c r="AI360" s="340"/>
      <c r="AN360" s="340"/>
      <c r="AO360" s="340"/>
      <c r="AS360" s="340"/>
      <c r="AX360" s="340"/>
      <c r="BB360" s="340"/>
      <c r="BD360" s="339"/>
    </row>
    <row r="361" spans="7:56" s="338" customFormat="1">
      <c r="G361" s="340"/>
      <c r="L361" s="340"/>
      <c r="P361" s="340"/>
      <c r="U361" s="340"/>
      <c r="V361" s="340"/>
      <c r="Z361" s="340"/>
      <c r="AE361" s="340"/>
      <c r="AI361" s="340"/>
      <c r="AN361" s="340"/>
      <c r="AO361" s="340"/>
      <c r="AS361" s="340"/>
      <c r="AX361" s="340"/>
      <c r="BB361" s="340"/>
      <c r="BD361" s="339"/>
    </row>
    <row r="362" spans="7:56" s="338" customFormat="1">
      <c r="G362" s="340"/>
      <c r="L362" s="340"/>
      <c r="P362" s="340"/>
      <c r="U362" s="340"/>
      <c r="V362" s="340"/>
      <c r="Z362" s="340"/>
      <c r="AE362" s="340"/>
      <c r="AI362" s="340"/>
      <c r="AN362" s="340"/>
      <c r="AO362" s="340"/>
      <c r="AS362" s="340"/>
      <c r="AX362" s="340"/>
      <c r="BB362" s="340"/>
      <c r="BD362" s="339"/>
    </row>
    <row r="363" spans="7:56" s="338" customFormat="1">
      <c r="G363" s="340"/>
      <c r="L363" s="340"/>
      <c r="P363" s="340"/>
      <c r="U363" s="340"/>
      <c r="V363" s="340"/>
      <c r="Z363" s="340"/>
      <c r="AE363" s="340"/>
      <c r="AI363" s="340"/>
      <c r="AN363" s="340"/>
      <c r="AO363" s="340"/>
      <c r="AS363" s="340"/>
      <c r="AX363" s="340"/>
      <c r="BB363" s="340"/>
      <c r="BD363" s="339"/>
    </row>
    <row r="364" spans="7:56" s="338" customFormat="1">
      <c r="G364" s="340"/>
      <c r="L364" s="340"/>
      <c r="P364" s="340"/>
      <c r="U364" s="340"/>
      <c r="V364" s="340"/>
      <c r="Z364" s="340"/>
      <c r="AE364" s="340"/>
      <c r="AI364" s="340"/>
      <c r="AN364" s="340"/>
      <c r="AO364" s="340"/>
      <c r="AS364" s="340"/>
      <c r="AX364" s="340"/>
      <c r="BB364" s="340"/>
      <c r="BD364" s="339"/>
    </row>
    <row r="365" spans="7:56" s="338" customFormat="1">
      <c r="G365" s="340"/>
      <c r="L365" s="340"/>
      <c r="P365" s="340"/>
      <c r="U365" s="340"/>
      <c r="V365" s="340"/>
      <c r="Z365" s="340"/>
      <c r="AE365" s="340"/>
      <c r="AI365" s="340"/>
      <c r="AN365" s="340"/>
      <c r="AO365" s="340"/>
      <c r="AS365" s="340"/>
      <c r="AX365" s="340"/>
      <c r="BB365" s="340"/>
      <c r="BD365" s="339"/>
    </row>
    <row r="366" spans="7:56" s="338" customFormat="1">
      <c r="G366" s="340"/>
      <c r="L366" s="340"/>
      <c r="P366" s="340"/>
      <c r="U366" s="340"/>
      <c r="V366" s="340"/>
      <c r="Z366" s="340"/>
      <c r="AE366" s="340"/>
      <c r="AI366" s="340"/>
      <c r="AN366" s="340"/>
      <c r="AO366" s="340"/>
      <c r="AS366" s="340"/>
      <c r="AX366" s="340"/>
      <c r="BB366" s="340"/>
      <c r="BD366" s="339"/>
    </row>
    <row r="367" spans="7:56" s="338" customFormat="1">
      <c r="G367" s="340"/>
      <c r="L367" s="340"/>
      <c r="P367" s="340"/>
      <c r="U367" s="340"/>
      <c r="V367" s="340"/>
      <c r="Z367" s="340"/>
      <c r="AE367" s="340"/>
      <c r="AI367" s="340"/>
      <c r="AN367" s="340"/>
      <c r="AO367" s="340"/>
      <c r="AS367" s="340"/>
      <c r="AX367" s="340"/>
      <c r="BB367" s="340"/>
      <c r="BD367" s="339"/>
    </row>
    <row r="368" spans="7:56" s="338" customFormat="1">
      <c r="G368" s="340"/>
      <c r="L368" s="340"/>
      <c r="P368" s="340"/>
      <c r="U368" s="340"/>
      <c r="V368" s="340"/>
      <c r="Z368" s="340"/>
      <c r="AE368" s="340"/>
      <c r="AI368" s="340"/>
      <c r="AN368" s="340"/>
      <c r="AO368" s="340"/>
      <c r="AS368" s="340"/>
      <c r="AX368" s="340"/>
      <c r="BB368" s="340"/>
      <c r="BD368" s="339"/>
    </row>
    <row r="369" spans="7:56" s="338" customFormat="1">
      <c r="G369" s="340"/>
      <c r="L369" s="340"/>
      <c r="P369" s="340"/>
      <c r="U369" s="340"/>
      <c r="V369" s="340"/>
      <c r="Z369" s="340"/>
      <c r="AE369" s="340"/>
      <c r="AI369" s="340"/>
      <c r="AN369" s="340"/>
      <c r="AO369" s="340"/>
      <c r="AS369" s="340"/>
      <c r="AX369" s="340"/>
      <c r="BB369" s="340"/>
      <c r="BD369" s="339"/>
    </row>
    <row r="370" spans="7:56" s="338" customFormat="1">
      <c r="G370" s="340"/>
      <c r="L370" s="340"/>
      <c r="P370" s="340"/>
      <c r="U370" s="340"/>
      <c r="V370" s="340"/>
      <c r="Z370" s="340"/>
      <c r="AE370" s="340"/>
      <c r="AI370" s="340"/>
      <c r="AN370" s="340"/>
      <c r="AO370" s="340"/>
      <c r="AS370" s="340"/>
      <c r="AX370" s="340"/>
      <c r="BB370" s="340"/>
      <c r="BD370" s="339"/>
    </row>
    <row r="371" spans="7:56" s="338" customFormat="1">
      <c r="G371" s="340"/>
      <c r="L371" s="340"/>
      <c r="P371" s="340"/>
      <c r="U371" s="340"/>
      <c r="V371" s="340"/>
      <c r="Z371" s="340"/>
      <c r="AE371" s="340"/>
      <c r="AI371" s="340"/>
      <c r="AN371" s="340"/>
      <c r="AO371" s="340"/>
      <c r="AS371" s="340"/>
      <c r="AX371" s="340"/>
      <c r="BB371" s="340"/>
      <c r="BD371" s="339"/>
    </row>
    <row r="372" spans="7:56" s="338" customFormat="1">
      <c r="G372" s="340"/>
      <c r="L372" s="340"/>
      <c r="P372" s="340"/>
      <c r="U372" s="340"/>
      <c r="V372" s="340"/>
      <c r="Z372" s="340"/>
      <c r="AE372" s="340"/>
      <c r="AI372" s="340"/>
      <c r="AN372" s="340"/>
      <c r="AO372" s="340"/>
      <c r="AS372" s="340"/>
      <c r="AX372" s="340"/>
      <c r="BB372" s="340"/>
      <c r="BD372" s="339"/>
    </row>
    <row r="373" spans="7:56" s="338" customFormat="1">
      <c r="G373" s="340"/>
      <c r="L373" s="340"/>
      <c r="P373" s="340"/>
      <c r="U373" s="340"/>
      <c r="V373" s="340"/>
      <c r="Z373" s="340"/>
      <c r="AE373" s="340"/>
      <c r="AI373" s="340"/>
      <c r="AN373" s="340"/>
      <c r="AO373" s="340"/>
      <c r="AS373" s="340"/>
      <c r="AX373" s="340"/>
      <c r="BB373" s="340"/>
      <c r="BD373" s="339"/>
    </row>
    <row r="374" spans="7:56" s="338" customFormat="1">
      <c r="G374" s="340"/>
      <c r="L374" s="340"/>
      <c r="P374" s="340"/>
      <c r="U374" s="340"/>
      <c r="V374" s="340"/>
      <c r="Z374" s="340"/>
      <c r="AE374" s="340"/>
      <c r="AI374" s="340"/>
      <c r="AN374" s="340"/>
      <c r="AO374" s="340"/>
      <c r="AS374" s="340"/>
      <c r="AX374" s="340"/>
      <c r="BB374" s="340"/>
      <c r="BD374" s="339"/>
    </row>
    <row r="375" spans="7:56" s="338" customFormat="1">
      <c r="G375" s="340"/>
      <c r="L375" s="340"/>
      <c r="P375" s="340"/>
      <c r="U375" s="340"/>
      <c r="V375" s="340"/>
      <c r="Z375" s="340"/>
      <c r="AE375" s="340"/>
      <c r="AI375" s="340"/>
      <c r="AN375" s="340"/>
      <c r="AO375" s="340"/>
      <c r="AS375" s="340"/>
      <c r="AX375" s="340"/>
      <c r="BB375" s="340"/>
      <c r="BD375" s="339"/>
    </row>
    <row r="376" spans="7:56" s="338" customFormat="1">
      <c r="G376" s="340"/>
      <c r="L376" s="340"/>
      <c r="P376" s="340"/>
      <c r="U376" s="340"/>
      <c r="V376" s="340"/>
      <c r="Z376" s="340"/>
      <c r="AE376" s="340"/>
      <c r="AI376" s="340"/>
      <c r="AN376" s="340"/>
      <c r="AO376" s="340"/>
      <c r="AS376" s="340"/>
      <c r="AX376" s="340"/>
      <c r="BB376" s="340"/>
      <c r="BD376" s="339"/>
    </row>
    <row r="377" spans="7:56" s="338" customFormat="1">
      <c r="G377" s="340"/>
      <c r="L377" s="340"/>
      <c r="P377" s="340"/>
      <c r="U377" s="340"/>
      <c r="V377" s="340"/>
      <c r="Z377" s="340"/>
      <c r="AE377" s="340"/>
      <c r="AI377" s="340"/>
      <c r="AN377" s="340"/>
      <c r="AO377" s="340"/>
      <c r="AS377" s="340"/>
      <c r="AX377" s="340"/>
      <c r="BB377" s="340"/>
      <c r="BD377" s="339"/>
    </row>
    <row r="378" spans="7:56" s="338" customFormat="1">
      <c r="G378" s="340"/>
      <c r="L378" s="340"/>
      <c r="P378" s="340"/>
      <c r="U378" s="340"/>
      <c r="V378" s="340"/>
      <c r="Z378" s="340"/>
      <c r="AE378" s="340"/>
      <c r="AI378" s="340"/>
      <c r="AN378" s="340"/>
      <c r="AO378" s="340"/>
      <c r="AS378" s="340"/>
      <c r="AX378" s="340"/>
      <c r="BB378" s="340"/>
      <c r="BD378" s="339"/>
    </row>
    <row r="379" spans="7:56" s="338" customFormat="1">
      <c r="G379" s="340"/>
      <c r="L379" s="340"/>
      <c r="P379" s="340"/>
      <c r="U379" s="340"/>
      <c r="V379" s="340"/>
      <c r="Z379" s="340"/>
      <c r="AE379" s="340"/>
      <c r="AI379" s="340"/>
      <c r="AN379" s="340"/>
      <c r="AO379" s="340"/>
      <c r="AS379" s="340"/>
      <c r="AX379" s="340"/>
      <c r="BB379" s="340"/>
      <c r="BD379" s="339"/>
    </row>
    <row r="380" spans="7:56" s="338" customFormat="1">
      <c r="G380" s="340"/>
      <c r="L380" s="340"/>
      <c r="P380" s="340"/>
      <c r="U380" s="340"/>
      <c r="V380" s="340"/>
      <c r="Z380" s="340"/>
      <c r="AE380" s="340"/>
      <c r="AI380" s="340"/>
      <c r="AN380" s="340"/>
      <c r="AO380" s="340"/>
      <c r="AS380" s="340"/>
      <c r="AX380" s="340"/>
      <c r="BB380" s="340"/>
      <c r="BD380" s="339"/>
    </row>
    <row r="381" spans="7:56" s="338" customFormat="1">
      <c r="G381" s="340"/>
      <c r="L381" s="340"/>
      <c r="P381" s="340"/>
      <c r="U381" s="340"/>
      <c r="V381" s="340"/>
      <c r="Z381" s="340"/>
      <c r="AE381" s="340"/>
      <c r="AI381" s="340"/>
      <c r="AN381" s="340"/>
      <c r="AO381" s="340"/>
      <c r="AS381" s="340"/>
      <c r="AX381" s="340"/>
      <c r="BB381" s="340"/>
      <c r="BD381" s="339"/>
    </row>
    <row r="382" spans="7:56" s="338" customFormat="1">
      <c r="G382" s="340"/>
      <c r="L382" s="340"/>
      <c r="P382" s="340"/>
      <c r="U382" s="340"/>
      <c r="V382" s="340"/>
      <c r="Z382" s="340"/>
      <c r="AE382" s="340"/>
      <c r="AI382" s="340"/>
      <c r="AN382" s="340"/>
      <c r="AO382" s="340"/>
      <c r="AS382" s="340"/>
      <c r="AX382" s="340"/>
      <c r="BB382" s="340"/>
      <c r="BD382" s="339"/>
    </row>
    <row r="383" spans="7:56" s="338" customFormat="1">
      <c r="G383" s="340"/>
      <c r="L383" s="340"/>
      <c r="P383" s="340"/>
      <c r="U383" s="340"/>
      <c r="V383" s="340"/>
      <c r="Z383" s="340"/>
      <c r="AE383" s="340"/>
      <c r="AI383" s="340"/>
      <c r="AN383" s="340"/>
      <c r="AO383" s="340"/>
      <c r="AS383" s="340"/>
      <c r="AX383" s="340"/>
      <c r="BB383" s="340"/>
      <c r="BD383" s="339"/>
    </row>
    <row r="384" spans="7:56" s="338" customFormat="1">
      <c r="G384" s="340"/>
      <c r="L384" s="340"/>
      <c r="P384" s="340"/>
      <c r="U384" s="340"/>
      <c r="V384" s="340"/>
      <c r="Z384" s="340"/>
      <c r="AE384" s="340"/>
      <c r="AI384" s="340"/>
      <c r="AN384" s="340"/>
      <c r="AO384" s="340"/>
      <c r="AS384" s="340"/>
      <c r="AX384" s="340"/>
      <c r="BB384" s="340"/>
      <c r="BD384" s="339"/>
    </row>
    <row r="385" spans="7:56" s="338" customFormat="1">
      <c r="G385" s="340"/>
      <c r="L385" s="340"/>
      <c r="P385" s="340"/>
      <c r="U385" s="340"/>
      <c r="V385" s="340"/>
      <c r="Z385" s="340"/>
      <c r="AE385" s="340"/>
      <c r="AI385" s="340"/>
      <c r="AN385" s="340"/>
      <c r="AO385" s="340"/>
      <c r="AS385" s="340"/>
      <c r="AX385" s="340"/>
      <c r="BB385" s="340"/>
      <c r="BD385" s="339"/>
    </row>
    <row r="386" spans="7:56" s="338" customFormat="1">
      <c r="G386" s="340"/>
      <c r="L386" s="340"/>
      <c r="P386" s="340"/>
      <c r="U386" s="340"/>
      <c r="V386" s="340"/>
      <c r="Z386" s="340"/>
      <c r="AE386" s="340"/>
      <c r="AI386" s="340"/>
      <c r="AN386" s="340"/>
      <c r="AO386" s="340"/>
      <c r="AS386" s="340"/>
      <c r="AX386" s="340"/>
      <c r="BB386" s="340"/>
      <c r="BD386" s="339"/>
    </row>
    <row r="387" spans="7:56" s="338" customFormat="1">
      <c r="G387" s="340"/>
      <c r="L387" s="340"/>
      <c r="P387" s="340"/>
      <c r="U387" s="340"/>
      <c r="V387" s="340"/>
      <c r="Z387" s="340"/>
      <c r="AE387" s="340"/>
      <c r="AI387" s="340"/>
      <c r="AN387" s="340"/>
      <c r="AO387" s="340"/>
      <c r="AS387" s="340"/>
      <c r="AX387" s="340"/>
      <c r="BB387" s="340"/>
      <c r="BD387" s="339"/>
    </row>
    <row r="388" spans="7:56" s="338" customFormat="1">
      <c r="G388" s="340"/>
      <c r="L388" s="340"/>
      <c r="P388" s="340"/>
      <c r="U388" s="340"/>
      <c r="V388" s="340"/>
      <c r="Z388" s="340"/>
      <c r="AE388" s="340"/>
      <c r="AI388" s="340"/>
      <c r="AN388" s="340"/>
      <c r="AO388" s="340"/>
      <c r="AS388" s="340"/>
      <c r="AX388" s="340"/>
      <c r="BB388" s="340"/>
      <c r="BD388" s="339"/>
    </row>
    <row r="389" spans="7:56" s="338" customFormat="1">
      <c r="G389" s="340"/>
      <c r="L389" s="340"/>
      <c r="P389" s="340"/>
      <c r="U389" s="340"/>
      <c r="V389" s="340"/>
      <c r="Z389" s="340"/>
      <c r="AE389" s="340"/>
      <c r="AI389" s="340"/>
      <c r="AN389" s="340"/>
      <c r="AO389" s="340"/>
      <c r="AS389" s="340"/>
      <c r="AX389" s="340"/>
      <c r="BB389" s="340"/>
      <c r="BD389" s="339"/>
    </row>
    <row r="390" spans="7:56" s="338" customFormat="1">
      <c r="G390" s="340"/>
      <c r="L390" s="340"/>
      <c r="P390" s="340"/>
      <c r="U390" s="340"/>
      <c r="V390" s="340"/>
      <c r="Z390" s="340"/>
      <c r="AE390" s="340"/>
      <c r="AI390" s="340"/>
      <c r="AN390" s="340"/>
      <c r="AO390" s="340"/>
      <c r="AS390" s="340"/>
      <c r="AX390" s="340"/>
      <c r="BB390" s="340"/>
      <c r="BD390" s="339"/>
    </row>
    <row r="391" spans="7:56" s="338" customFormat="1">
      <c r="G391" s="340"/>
      <c r="L391" s="340"/>
      <c r="P391" s="340"/>
      <c r="U391" s="340"/>
      <c r="V391" s="340"/>
      <c r="Z391" s="340"/>
      <c r="AE391" s="340"/>
      <c r="AI391" s="340"/>
      <c r="AN391" s="340"/>
      <c r="AO391" s="340"/>
      <c r="AS391" s="340"/>
      <c r="AX391" s="340"/>
      <c r="BB391" s="340"/>
      <c r="BD391" s="339"/>
    </row>
    <row r="392" spans="7:56" s="338" customFormat="1">
      <c r="G392" s="340"/>
      <c r="L392" s="340"/>
      <c r="P392" s="340"/>
      <c r="U392" s="340"/>
      <c r="V392" s="340"/>
      <c r="Z392" s="340"/>
      <c r="AE392" s="340"/>
      <c r="AI392" s="340"/>
      <c r="AN392" s="340"/>
      <c r="AO392" s="340"/>
      <c r="AS392" s="340"/>
      <c r="AX392" s="340"/>
      <c r="BB392" s="340"/>
      <c r="BD392" s="339"/>
    </row>
    <row r="393" spans="7:56" s="338" customFormat="1">
      <c r="G393" s="340"/>
      <c r="L393" s="340"/>
      <c r="P393" s="340"/>
      <c r="U393" s="340"/>
      <c r="V393" s="340"/>
      <c r="Z393" s="340"/>
      <c r="AE393" s="340"/>
      <c r="AI393" s="340"/>
      <c r="AN393" s="340"/>
      <c r="AO393" s="340"/>
      <c r="AS393" s="340"/>
      <c r="AX393" s="340"/>
      <c r="BB393" s="340"/>
      <c r="BD393" s="339"/>
    </row>
    <row r="394" spans="7:56" s="338" customFormat="1">
      <c r="G394" s="340"/>
      <c r="L394" s="340"/>
      <c r="P394" s="340"/>
      <c r="U394" s="340"/>
      <c r="V394" s="340"/>
      <c r="Z394" s="340"/>
      <c r="AE394" s="340"/>
      <c r="AI394" s="340"/>
      <c r="AN394" s="340"/>
      <c r="AO394" s="340"/>
      <c r="AS394" s="340"/>
      <c r="AX394" s="340"/>
      <c r="BB394" s="340"/>
      <c r="BD394" s="339"/>
    </row>
    <row r="395" spans="7:56" s="338" customFormat="1">
      <c r="G395" s="340"/>
      <c r="L395" s="340"/>
      <c r="P395" s="340"/>
      <c r="U395" s="340"/>
      <c r="V395" s="340"/>
      <c r="Z395" s="340"/>
      <c r="AE395" s="340"/>
      <c r="AI395" s="340"/>
      <c r="AN395" s="340"/>
      <c r="AO395" s="340"/>
      <c r="AS395" s="340"/>
      <c r="AX395" s="340"/>
      <c r="BB395" s="340"/>
      <c r="BD395" s="339"/>
    </row>
    <row r="396" spans="7:56" s="338" customFormat="1">
      <c r="G396" s="340"/>
      <c r="L396" s="340"/>
      <c r="P396" s="340"/>
      <c r="U396" s="340"/>
      <c r="V396" s="340"/>
      <c r="Z396" s="340"/>
      <c r="AE396" s="340"/>
      <c r="AI396" s="340"/>
      <c r="AN396" s="340"/>
      <c r="AO396" s="340"/>
      <c r="AS396" s="340"/>
      <c r="AX396" s="340"/>
      <c r="BB396" s="340"/>
      <c r="BD396" s="339"/>
    </row>
    <row r="397" spans="7:56" s="338" customFormat="1">
      <c r="G397" s="340"/>
      <c r="L397" s="340"/>
      <c r="P397" s="340"/>
      <c r="U397" s="340"/>
      <c r="V397" s="340"/>
      <c r="Z397" s="340"/>
      <c r="AE397" s="340"/>
      <c r="AI397" s="340"/>
      <c r="AN397" s="340"/>
      <c r="AO397" s="340"/>
      <c r="AS397" s="340"/>
      <c r="AX397" s="340"/>
      <c r="BB397" s="340"/>
      <c r="BD397" s="339"/>
    </row>
    <row r="398" spans="7:56" s="338" customFormat="1">
      <c r="G398" s="340"/>
      <c r="L398" s="340"/>
      <c r="P398" s="340"/>
      <c r="U398" s="340"/>
      <c r="V398" s="340"/>
      <c r="Z398" s="340"/>
      <c r="AE398" s="340"/>
      <c r="AI398" s="340"/>
      <c r="AN398" s="340"/>
      <c r="AO398" s="340"/>
      <c r="AS398" s="340"/>
      <c r="AX398" s="340"/>
      <c r="BB398" s="340"/>
      <c r="BD398" s="339"/>
    </row>
    <row r="399" spans="7:56" s="338" customFormat="1">
      <c r="G399" s="340"/>
      <c r="L399" s="340"/>
      <c r="P399" s="340"/>
      <c r="U399" s="340"/>
      <c r="V399" s="340"/>
      <c r="Z399" s="340"/>
      <c r="AE399" s="340"/>
      <c r="AI399" s="340"/>
      <c r="AN399" s="340"/>
      <c r="AO399" s="340"/>
      <c r="AS399" s="340"/>
      <c r="AX399" s="340"/>
      <c r="BB399" s="340"/>
      <c r="BD399" s="339"/>
    </row>
    <row r="400" spans="7:56" s="338" customFormat="1">
      <c r="G400" s="340"/>
      <c r="L400" s="340"/>
      <c r="P400" s="340"/>
      <c r="U400" s="340"/>
      <c r="V400" s="340"/>
      <c r="Z400" s="340"/>
      <c r="AE400" s="340"/>
      <c r="AI400" s="340"/>
      <c r="AN400" s="340"/>
      <c r="AO400" s="340"/>
      <c r="AS400" s="340"/>
      <c r="AX400" s="340"/>
      <c r="BB400" s="340"/>
      <c r="BD400" s="339"/>
    </row>
    <row r="401" spans="7:56" s="338" customFormat="1">
      <c r="G401" s="340"/>
      <c r="L401" s="340"/>
      <c r="P401" s="340"/>
      <c r="U401" s="340"/>
      <c r="V401" s="340"/>
      <c r="Z401" s="340"/>
      <c r="AE401" s="340"/>
      <c r="AI401" s="340"/>
      <c r="AN401" s="340"/>
      <c r="AO401" s="340"/>
      <c r="AS401" s="340"/>
      <c r="AX401" s="340"/>
      <c r="BB401" s="340"/>
      <c r="BD401" s="339"/>
    </row>
    <row r="402" spans="7:56" s="338" customFormat="1">
      <c r="G402" s="340"/>
      <c r="L402" s="340"/>
      <c r="P402" s="340"/>
      <c r="U402" s="340"/>
      <c r="V402" s="340"/>
      <c r="Z402" s="340"/>
      <c r="AE402" s="340"/>
      <c r="AI402" s="340"/>
      <c r="AN402" s="340"/>
      <c r="AO402" s="340"/>
      <c r="AS402" s="340"/>
      <c r="AX402" s="340"/>
      <c r="BB402" s="340"/>
      <c r="BD402" s="339"/>
    </row>
    <row r="403" spans="7:56" s="338" customFormat="1">
      <c r="G403" s="340"/>
      <c r="L403" s="340"/>
      <c r="P403" s="340"/>
      <c r="U403" s="340"/>
      <c r="V403" s="340"/>
      <c r="Z403" s="340"/>
      <c r="AE403" s="340"/>
      <c r="AI403" s="340"/>
      <c r="AN403" s="340"/>
      <c r="AO403" s="340"/>
      <c r="AS403" s="340"/>
      <c r="AX403" s="340"/>
      <c r="BB403" s="340"/>
      <c r="BD403" s="339"/>
    </row>
    <row r="404" spans="7:56" s="338" customFormat="1">
      <c r="G404" s="340"/>
      <c r="L404" s="340"/>
      <c r="P404" s="340"/>
      <c r="U404" s="340"/>
      <c r="V404" s="340"/>
      <c r="Z404" s="340"/>
      <c r="AE404" s="340"/>
      <c r="AI404" s="340"/>
      <c r="AN404" s="340"/>
      <c r="AO404" s="340"/>
      <c r="AS404" s="340"/>
      <c r="AX404" s="340"/>
      <c r="BB404" s="340"/>
      <c r="BD404" s="339"/>
    </row>
    <row r="405" spans="7:56" s="338" customFormat="1">
      <c r="G405" s="340"/>
      <c r="L405" s="340"/>
      <c r="P405" s="340"/>
      <c r="U405" s="340"/>
      <c r="V405" s="340"/>
      <c r="Z405" s="340"/>
      <c r="AE405" s="340"/>
      <c r="AI405" s="340"/>
      <c r="AN405" s="340"/>
      <c r="AO405" s="340"/>
      <c r="AS405" s="340"/>
      <c r="AX405" s="340"/>
      <c r="BB405" s="340"/>
      <c r="BD405" s="339"/>
    </row>
    <row r="406" spans="7:56" s="338" customFormat="1">
      <c r="G406" s="340"/>
      <c r="L406" s="340"/>
      <c r="P406" s="340"/>
      <c r="U406" s="340"/>
      <c r="V406" s="340"/>
      <c r="Z406" s="340"/>
      <c r="AE406" s="340"/>
      <c r="AI406" s="340"/>
      <c r="AN406" s="340"/>
      <c r="AO406" s="340"/>
      <c r="AS406" s="340"/>
      <c r="AX406" s="340"/>
      <c r="BB406" s="340"/>
      <c r="BD406" s="339"/>
    </row>
    <row r="407" spans="7:56" s="338" customFormat="1">
      <c r="G407" s="340"/>
      <c r="L407" s="340"/>
      <c r="P407" s="340"/>
      <c r="U407" s="340"/>
      <c r="V407" s="340"/>
      <c r="Z407" s="340"/>
      <c r="AE407" s="340"/>
      <c r="AI407" s="340"/>
      <c r="AN407" s="340"/>
      <c r="AO407" s="340"/>
      <c r="AS407" s="340"/>
      <c r="AX407" s="340"/>
      <c r="BB407" s="340"/>
      <c r="BD407" s="339"/>
    </row>
    <row r="408" spans="7:56" s="338" customFormat="1">
      <c r="G408" s="340"/>
      <c r="L408" s="340"/>
      <c r="P408" s="340"/>
      <c r="U408" s="340"/>
      <c r="V408" s="340"/>
      <c r="Z408" s="340"/>
      <c r="AE408" s="340"/>
      <c r="AI408" s="340"/>
      <c r="AN408" s="340"/>
      <c r="AO408" s="340"/>
      <c r="AS408" s="340"/>
      <c r="AX408" s="340"/>
      <c r="BB408" s="340"/>
      <c r="BD408" s="339"/>
    </row>
    <row r="409" spans="7:56" s="338" customFormat="1">
      <c r="G409" s="340"/>
      <c r="L409" s="340"/>
      <c r="P409" s="340"/>
      <c r="U409" s="340"/>
      <c r="V409" s="340"/>
      <c r="Z409" s="340"/>
      <c r="AE409" s="340"/>
      <c r="AI409" s="340"/>
      <c r="AN409" s="340"/>
      <c r="AO409" s="340"/>
      <c r="AS409" s="340"/>
      <c r="AX409" s="340"/>
      <c r="BB409" s="340"/>
      <c r="BD409" s="339"/>
    </row>
    <row r="410" spans="7:56" s="338" customFormat="1">
      <c r="G410" s="340"/>
      <c r="L410" s="340"/>
      <c r="P410" s="340"/>
      <c r="U410" s="340"/>
      <c r="V410" s="340"/>
      <c r="Z410" s="340"/>
      <c r="AE410" s="340"/>
      <c r="AI410" s="340"/>
      <c r="AN410" s="340"/>
      <c r="AO410" s="340"/>
      <c r="AS410" s="340"/>
      <c r="AX410" s="340"/>
      <c r="BB410" s="340"/>
      <c r="BD410" s="339"/>
    </row>
    <row r="411" spans="7:56" s="338" customFormat="1">
      <c r="G411" s="340"/>
      <c r="L411" s="340"/>
      <c r="P411" s="340"/>
      <c r="U411" s="340"/>
      <c r="V411" s="340"/>
      <c r="Z411" s="340"/>
      <c r="AE411" s="340"/>
      <c r="AI411" s="340"/>
      <c r="AN411" s="340"/>
      <c r="AO411" s="340"/>
      <c r="AS411" s="340"/>
      <c r="AX411" s="340"/>
      <c r="BB411" s="340"/>
      <c r="BD411" s="339"/>
    </row>
    <row r="412" spans="7:56" s="338" customFormat="1">
      <c r="G412" s="340"/>
      <c r="L412" s="340"/>
      <c r="P412" s="340"/>
      <c r="U412" s="340"/>
      <c r="V412" s="340"/>
      <c r="Z412" s="340"/>
      <c r="AE412" s="340"/>
      <c r="AI412" s="340"/>
      <c r="AN412" s="340"/>
      <c r="AO412" s="340"/>
      <c r="AS412" s="340"/>
      <c r="AX412" s="340"/>
      <c r="BB412" s="340"/>
      <c r="BD412" s="339"/>
    </row>
    <row r="413" spans="7:56" s="338" customFormat="1">
      <c r="G413" s="340"/>
      <c r="L413" s="340"/>
      <c r="P413" s="340"/>
      <c r="U413" s="340"/>
      <c r="V413" s="340"/>
      <c r="Z413" s="340"/>
      <c r="AE413" s="340"/>
      <c r="AI413" s="340"/>
      <c r="AN413" s="340"/>
      <c r="AO413" s="340"/>
      <c r="AS413" s="340"/>
      <c r="AX413" s="340"/>
      <c r="BB413" s="340"/>
      <c r="BD413" s="339"/>
    </row>
    <row r="414" spans="7:56" s="338" customFormat="1">
      <c r="G414" s="340"/>
      <c r="L414" s="340"/>
      <c r="P414" s="340"/>
      <c r="U414" s="340"/>
      <c r="V414" s="340"/>
      <c r="Z414" s="340"/>
      <c r="AE414" s="340"/>
      <c r="AI414" s="340"/>
      <c r="AN414" s="340"/>
      <c r="AO414" s="340"/>
      <c r="AS414" s="340"/>
      <c r="AX414" s="340"/>
      <c r="BB414" s="340"/>
      <c r="BD414" s="339"/>
    </row>
    <row r="415" spans="7:56" s="338" customFormat="1">
      <c r="G415" s="340"/>
      <c r="L415" s="340"/>
      <c r="P415" s="340"/>
      <c r="U415" s="340"/>
      <c r="V415" s="340"/>
      <c r="Z415" s="340"/>
      <c r="AE415" s="340"/>
      <c r="AI415" s="340"/>
      <c r="AN415" s="340"/>
      <c r="AO415" s="340"/>
      <c r="AS415" s="340"/>
      <c r="AX415" s="340"/>
      <c r="BB415" s="340"/>
      <c r="BD415" s="339"/>
    </row>
    <row r="416" spans="7:56" s="338" customFormat="1">
      <c r="G416" s="340"/>
      <c r="L416" s="340"/>
      <c r="P416" s="340"/>
      <c r="U416" s="340"/>
      <c r="V416" s="340"/>
      <c r="Z416" s="340"/>
      <c r="AE416" s="340"/>
      <c r="AI416" s="340"/>
      <c r="AN416" s="340"/>
      <c r="AO416" s="340"/>
      <c r="AS416" s="340"/>
      <c r="AX416" s="340"/>
      <c r="BB416" s="340"/>
      <c r="BD416" s="339"/>
    </row>
    <row r="417" spans="7:56" s="338" customFormat="1">
      <c r="G417" s="340"/>
      <c r="L417" s="340"/>
      <c r="P417" s="340"/>
      <c r="U417" s="340"/>
      <c r="V417" s="340"/>
      <c r="Z417" s="340"/>
      <c r="AE417" s="340"/>
      <c r="AI417" s="340"/>
      <c r="AN417" s="340"/>
      <c r="AO417" s="340"/>
      <c r="AS417" s="340"/>
      <c r="AX417" s="340"/>
      <c r="BB417" s="340"/>
      <c r="BD417" s="339"/>
    </row>
    <row r="418" spans="7:56" s="338" customFormat="1">
      <c r="G418" s="340"/>
      <c r="L418" s="340"/>
      <c r="P418" s="340"/>
      <c r="U418" s="340"/>
      <c r="V418" s="340"/>
      <c r="Z418" s="340"/>
      <c r="AE418" s="340"/>
      <c r="AI418" s="340"/>
      <c r="AN418" s="340"/>
      <c r="AO418" s="340"/>
      <c r="AS418" s="340"/>
      <c r="AX418" s="340"/>
      <c r="BB418" s="340"/>
      <c r="BD418" s="339"/>
    </row>
    <row r="419" spans="7:56" s="338" customFormat="1">
      <c r="G419" s="340"/>
      <c r="L419" s="340"/>
      <c r="P419" s="340"/>
      <c r="U419" s="340"/>
      <c r="V419" s="340"/>
      <c r="Z419" s="340"/>
      <c r="AE419" s="340"/>
      <c r="AI419" s="340"/>
      <c r="AN419" s="340"/>
      <c r="AO419" s="340"/>
      <c r="AS419" s="340"/>
      <c r="AX419" s="340"/>
      <c r="BB419" s="340"/>
      <c r="BD419" s="339"/>
    </row>
    <row r="420" spans="7:56" s="338" customFormat="1">
      <c r="G420" s="340"/>
      <c r="L420" s="340"/>
      <c r="P420" s="340"/>
      <c r="U420" s="340"/>
      <c r="V420" s="340"/>
      <c r="Z420" s="340"/>
      <c r="AE420" s="340"/>
      <c r="AI420" s="340"/>
      <c r="AN420" s="340"/>
      <c r="AO420" s="340"/>
      <c r="AS420" s="340"/>
      <c r="AX420" s="340"/>
      <c r="BB420" s="340"/>
      <c r="BD420" s="339"/>
    </row>
    <row r="421" spans="7:56" s="338" customFormat="1">
      <c r="G421" s="340"/>
      <c r="L421" s="340"/>
      <c r="P421" s="340"/>
      <c r="U421" s="340"/>
      <c r="V421" s="340"/>
      <c r="Z421" s="340"/>
      <c r="AE421" s="340"/>
      <c r="AI421" s="340"/>
      <c r="AN421" s="340"/>
      <c r="AO421" s="340"/>
      <c r="AS421" s="340"/>
      <c r="AX421" s="340"/>
      <c r="BB421" s="340"/>
      <c r="BD421" s="339"/>
    </row>
    <row r="422" spans="7:56" s="338" customFormat="1">
      <c r="G422" s="340"/>
      <c r="L422" s="340"/>
      <c r="P422" s="340"/>
      <c r="U422" s="340"/>
      <c r="V422" s="340"/>
      <c r="Z422" s="340"/>
      <c r="AE422" s="340"/>
      <c r="AI422" s="340"/>
      <c r="AN422" s="340"/>
      <c r="AO422" s="340"/>
      <c r="AS422" s="340"/>
      <c r="AX422" s="340"/>
      <c r="BB422" s="340"/>
      <c r="BD422" s="339"/>
    </row>
    <row r="423" spans="7:56" s="338" customFormat="1">
      <c r="G423" s="340"/>
      <c r="L423" s="340"/>
      <c r="P423" s="340"/>
      <c r="U423" s="340"/>
      <c r="V423" s="340"/>
      <c r="Z423" s="340"/>
      <c r="AE423" s="340"/>
      <c r="AI423" s="340"/>
      <c r="AN423" s="340"/>
      <c r="AO423" s="340"/>
      <c r="AS423" s="340"/>
      <c r="AX423" s="340"/>
      <c r="BB423" s="340"/>
      <c r="BD423" s="339"/>
    </row>
    <row r="424" spans="7:56" s="338" customFormat="1">
      <c r="G424" s="340"/>
      <c r="L424" s="340"/>
      <c r="P424" s="340"/>
      <c r="U424" s="340"/>
      <c r="V424" s="340"/>
      <c r="Z424" s="340"/>
      <c r="AE424" s="340"/>
      <c r="AI424" s="340"/>
      <c r="AN424" s="340"/>
      <c r="AO424" s="340"/>
      <c r="AS424" s="340"/>
      <c r="AX424" s="340"/>
      <c r="BB424" s="340"/>
      <c r="BD424" s="339"/>
    </row>
    <row r="425" spans="7:56" s="338" customFormat="1">
      <c r="G425" s="340"/>
      <c r="L425" s="340"/>
      <c r="P425" s="340"/>
      <c r="U425" s="340"/>
      <c r="V425" s="340"/>
      <c r="Z425" s="340"/>
      <c r="AE425" s="340"/>
      <c r="AI425" s="340"/>
      <c r="AN425" s="340"/>
      <c r="AO425" s="340"/>
      <c r="AS425" s="340"/>
      <c r="AX425" s="340"/>
      <c r="BB425" s="340"/>
      <c r="BD425" s="339"/>
    </row>
    <row r="426" spans="7:56" s="338" customFormat="1">
      <c r="G426" s="340"/>
      <c r="L426" s="340"/>
      <c r="P426" s="340"/>
      <c r="U426" s="340"/>
      <c r="V426" s="340"/>
      <c r="Z426" s="340"/>
      <c r="AE426" s="340"/>
      <c r="AI426" s="340"/>
      <c r="AN426" s="340"/>
      <c r="AO426" s="340"/>
      <c r="AS426" s="340"/>
      <c r="AX426" s="340"/>
      <c r="BB426" s="340"/>
      <c r="BD426" s="339"/>
    </row>
    <row r="427" spans="7:56" s="338" customFormat="1">
      <c r="G427" s="340"/>
      <c r="L427" s="340"/>
      <c r="P427" s="340"/>
      <c r="U427" s="340"/>
      <c r="V427" s="340"/>
      <c r="Z427" s="340"/>
      <c r="AE427" s="340"/>
      <c r="AI427" s="340"/>
      <c r="AN427" s="340"/>
      <c r="AO427" s="340"/>
      <c r="AS427" s="340"/>
      <c r="AX427" s="340"/>
      <c r="BB427" s="340"/>
      <c r="BD427" s="339"/>
    </row>
    <row r="428" spans="7:56" s="338" customFormat="1">
      <c r="G428" s="340"/>
      <c r="L428" s="340"/>
      <c r="P428" s="340"/>
      <c r="U428" s="340"/>
      <c r="V428" s="340"/>
      <c r="Z428" s="340"/>
      <c r="AE428" s="340"/>
      <c r="AI428" s="340"/>
      <c r="AN428" s="340"/>
      <c r="AO428" s="340"/>
      <c r="AS428" s="340"/>
      <c r="AX428" s="340"/>
      <c r="BB428" s="340"/>
      <c r="BD428" s="339"/>
    </row>
    <row r="429" spans="7:56" s="338" customFormat="1">
      <c r="G429" s="340"/>
      <c r="L429" s="340"/>
      <c r="P429" s="340"/>
      <c r="U429" s="340"/>
      <c r="V429" s="340"/>
      <c r="Z429" s="340"/>
      <c r="AE429" s="340"/>
      <c r="AI429" s="340"/>
      <c r="AN429" s="340"/>
      <c r="AO429" s="340"/>
      <c r="AS429" s="340"/>
      <c r="AX429" s="340"/>
      <c r="BB429" s="340"/>
      <c r="BD429" s="339"/>
    </row>
    <row r="430" spans="7:56" s="338" customFormat="1">
      <c r="G430" s="340"/>
      <c r="L430" s="340"/>
      <c r="P430" s="340"/>
      <c r="U430" s="340"/>
      <c r="V430" s="340"/>
      <c r="Z430" s="340"/>
      <c r="AE430" s="340"/>
      <c r="AI430" s="340"/>
      <c r="AN430" s="340"/>
      <c r="AO430" s="340"/>
      <c r="AS430" s="340"/>
      <c r="AX430" s="340"/>
      <c r="BB430" s="340"/>
      <c r="BD430" s="339"/>
    </row>
    <row r="431" spans="7:56" s="338" customFormat="1">
      <c r="G431" s="340"/>
      <c r="L431" s="340"/>
      <c r="P431" s="340"/>
      <c r="U431" s="340"/>
      <c r="V431" s="340"/>
      <c r="Z431" s="340"/>
      <c r="AE431" s="340"/>
      <c r="AI431" s="340"/>
      <c r="AN431" s="340"/>
      <c r="AO431" s="340"/>
      <c r="AS431" s="340"/>
      <c r="AX431" s="340"/>
      <c r="BB431" s="340"/>
      <c r="BD431" s="339"/>
    </row>
    <row r="432" spans="7:56" s="338" customFormat="1">
      <c r="G432" s="340"/>
      <c r="L432" s="340"/>
      <c r="P432" s="340"/>
      <c r="U432" s="340"/>
      <c r="V432" s="340"/>
      <c r="Z432" s="340"/>
      <c r="AE432" s="340"/>
      <c r="AI432" s="340"/>
      <c r="AN432" s="340"/>
      <c r="AO432" s="340"/>
      <c r="AS432" s="340"/>
      <c r="AX432" s="340"/>
      <c r="BB432" s="340"/>
      <c r="BD432" s="339"/>
    </row>
    <row r="433" spans="7:56" s="338" customFormat="1">
      <c r="G433" s="340"/>
      <c r="L433" s="340"/>
      <c r="P433" s="340"/>
      <c r="U433" s="340"/>
      <c r="V433" s="340"/>
      <c r="Z433" s="340"/>
      <c r="AE433" s="340"/>
      <c r="AI433" s="340"/>
      <c r="AN433" s="340"/>
      <c r="AO433" s="340"/>
      <c r="AS433" s="340"/>
      <c r="AX433" s="340"/>
      <c r="BB433" s="340"/>
      <c r="BD433" s="339"/>
    </row>
    <row r="434" spans="7:56" s="338" customFormat="1">
      <c r="G434" s="340"/>
      <c r="L434" s="340"/>
      <c r="P434" s="340"/>
      <c r="U434" s="340"/>
      <c r="V434" s="340"/>
      <c r="Z434" s="340"/>
      <c r="AE434" s="340"/>
      <c r="AI434" s="340"/>
      <c r="AN434" s="340"/>
      <c r="AO434" s="340"/>
      <c r="AS434" s="340"/>
      <c r="AX434" s="340"/>
      <c r="BB434" s="340"/>
      <c r="BD434" s="339"/>
    </row>
    <row r="435" spans="7:56" s="338" customFormat="1">
      <c r="G435" s="340"/>
      <c r="L435" s="340"/>
      <c r="P435" s="340"/>
      <c r="U435" s="340"/>
      <c r="V435" s="340"/>
      <c r="Z435" s="340"/>
      <c r="AE435" s="340"/>
      <c r="AI435" s="340"/>
      <c r="AN435" s="340"/>
      <c r="AO435" s="340"/>
      <c r="AS435" s="340"/>
      <c r="AX435" s="340"/>
      <c r="BB435" s="340"/>
      <c r="BD435" s="339"/>
    </row>
    <row r="436" spans="7:56" s="338" customFormat="1">
      <c r="G436" s="340"/>
      <c r="L436" s="340"/>
      <c r="P436" s="340"/>
      <c r="U436" s="340"/>
      <c r="V436" s="340"/>
      <c r="Z436" s="340"/>
      <c r="AE436" s="340"/>
      <c r="AI436" s="340"/>
      <c r="AN436" s="340"/>
      <c r="AO436" s="340"/>
      <c r="AS436" s="340"/>
      <c r="AX436" s="340"/>
      <c r="BB436" s="340"/>
      <c r="BD436" s="339"/>
    </row>
    <row r="437" spans="7:56" s="338" customFormat="1">
      <c r="G437" s="340"/>
      <c r="L437" s="340"/>
      <c r="P437" s="340"/>
      <c r="U437" s="340"/>
      <c r="V437" s="340"/>
      <c r="Z437" s="340"/>
      <c r="AE437" s="340"/>
      <c r="AI437" s="340"/>
      <c r="AN437" s="340"/>
      <c r="AO437" s="340"/>
      <c r="AS437" s="340"/>
      <c r="AX437" s="340"/>
      <c r="BB437" s="340"/>
      <c r="BD437" s="339"/>
    </row>
    <row r="438" spans="7:56" s="338" customFormat="1">
      <c r="G438" s="340"/>
      <c r="L438" s="340"/>
      <c r="P438" s="340"/>
      <c r="U438" s="340"/>
      <c r="V438" s="340"/>
      <c r="Z438" s="340"/>
      <c r="AE438" s="340"/>
      <c r="AI438" s="340"/>
      <c r="AN438" s="340"/>
      <c r="AO438" s="340"/>
      <c r="AS438" s="340"/>
      <c r="AX438" s="340"/>
      <c r="BB438" s="340"/>
      <c r="BD438" s="339"/>
    </row>
    <row r="439" spans="7:56" s="338" customFormat="1">
      <c r="G439" s="340"/>
      <c r="L439" s="340"/>
      <c r="P439" s="340"/>
      <c r="U439" s="340"/>
      <c r="V439" s="340"/>
      <c r="Z439" s="340"/>
      <c r="AE439" s="340"/>
      <c r="AI439" s="340"/>
      <c r="AN439" s="340"/>
      <c r="AO439" s="340"/>
      <c r="AS439" s="340"/>
      <c r="AX439" s="340"/>
      <c r="BB439" s="340"/>
      <c r="BD439" s="339"/>
    </row>
    <row r="440" spans="7:56" s="338" customFormat="1">
      <c r="G440" s="340"/>
      <c r="L440" s="340"/>
      <c r="P440" s="340"/>
      <c r="U440" s="340"/>
      <c r="V440" s="340"/>
      <c r="Z440" s="340"/>
      <c r="AE440" s="340"/>
      <c r="AI440" s="340"/>
      <c r="AN440" s="340"/>
      <c r="AO440" s="340"/>
      <c r="AS440" s="340"/>
      <c r="AX440" s="340"/>
      <c r="BB440" s="340"/>
      <c r="BD440" s="339"/>
    </row>
    <row r="441" spans="7:56" s="338" customFormat="1">
      <c r="G441" s="340"/>
      <c r="L441" s="340"/>
      <c r="P441" s="340"/>
      <c r="U441" s="340"/>
      <c r="V441" s="340"/>
      <c r="Z441" s="340"/>
      <c r="AE441" s="340"/>
      <c r="AI441" s="340"/>
      <c r="AN441" s="340"/>
      <c r="AO441" s="340"/>
      <c r="AS441" s="340"/>
      <c r="AX441" s="340"/>
      <c r="BB441" s="340"/>
      <c r="BD441" s="339"/>
    </row>
    <row r="442" spans="7:56" s="338" customFormat="1">
      <c r="G442" s="340"/>
      <c r="L442" s="340"/>
      <c r="P442" s="340"/>
      <c r="U442" s="340"/>
      <c r="V442" s="340"/>
      <c r="Z442" s="340"/>
      <c r="AE442" s="340"/>
      <c r="AI442" s="340"/>
      <c r="AN442" s="340"/>
      <c r="AO442" s="340"/>
      <c r="AS442" s="340"/>
      <c r="AX442" s="340"/>
      <c r="BB442" s="340"/>
      <c r="BD442" s="339"/>
    </row>
    <row r="443" spans="7:56" s="338" customFormat="1">
      <c r="G443" s="340"/>
      <c r="L443" s="340"/>
      <c r="P443" s="340"/>
      <c r="U443" s="340"/>
      <c r="V443" s="340"/>
      <c r="Z443" s="340"/>
      <c r="AE443" s="340"/>
      <c r="AI443" s="340"/>
      <c r="AN443" s="340"/>
      <c r="AO443" s="340"/>
      <c r="AS443" s="340"/>
      <c r="AX443" s="340"/>
      <c r="BB443" s="340"/>
      <c r="BD443" s="339"/>
    </row>
    <row r="444" spans="7:56" s="338" customFormat="1">
      <c r="G444" s="340"/>
      <c r="L444" s="340"/>
      <c r="P444" s="340"/>
      <c r="U444" s="340"/>
      <c r="V444" s="340"/>
      <c r="Z444" s="340"/>
      <c r="AE444" s="340"/>
      <c r="AI444" s="340"/>
      <c r="AN444" s="340"/>
      <c r="AO444" s="340"/>
      <c r="AS444" s="340"/>
      <c r="AX444" s="340"/>
      <c r="BB444" s="340"/>
      <c r="BD444" s="339"/>
    </row>
    <row r="445" spans="7:56" s="338" customFormat="1">
      <c r="G445" s="340"/>
      <c r="L445" s="340"/>
      <c r="P445" s="340"/>
      <c r="U445" s="340"/>
      <c r="V445" s="340"/>
      <c r="Z445" s="340"/>
      <c r="AE445" s="340"/>
      <c r="AI445" s="340"/>
      <c r="AN445" s="340"/>
      <c r="AO445" s="340"/>
      <c r="AS445" s="340"/>
      <c r="AX445" s="340"/>
      <c r="BB445" s="340"/>
      <c r="BD445" s="339"/>
    </row>
    <row r="446" spans="7:56" s="338" customFormat="1">
      <c r="G446" s="340"/>
      <c r="L446" s="340"/>
      <c r="P446" s="340"/>
      <c r="U446" s="340"/>
      <c r="V446" s="340"/>
      <c r="Z446" s="340"/>
      <c r="AE446" s="340"/>
      <c r="AI446" s="340"/>
      <c r="AN446" s="340"/>
      <c r="AO446" s="340"/>
      <c r="AS446" s="340"/>
      <c r="AX446" s="340"/>
      <c r="BB446" s="340"/>
      <c r="BD446" s="339"/>
    </row>
    <row r="447" spans="7:56" s="338" customFormat="1">
      <c r="G447" s="340"/>
      <c r="L447" s="340"/>
      <c r="P447" s="340"/>
      <c r="U447" s="340"/>
      <c r="V447" s="340"/>
      <c r="Z447" s="340"/>
      <c r="AE447" s="340"/>
      <c r="AI447" s="340"/>
      <c r="AN447" s="340"/>
      <c r="AO447" s="340"/>
      <c r="AS447" s="340"/>
      <c r="AX447" s="340"/>
      <c r="BB447" s="340"/>
      <c r="BD447" s="339"/>
    </row>
    <row r="448" spans="7:56" s="338" customFormat="1">
      <c r="G448" s="340"/>
      <c r="L448" s="340"/>
      <c r="P448" s="340"/>
      <c r="U448" s="340"/>
      <c r="V448" s="340"/>
      <c r="Z448" s="340"/>
      <c r="AE448" s="340"/>
      <c r="AI448" s="340"/>
      <c r="AN448" s="340"/>
      <c r="AO448" s="340"/>
      <c r="AS448" s="340"/>
      <c r="AX448" s="340"/>
      <c r="BB448" s="340"/>
      <c r="BD448" s="339"/>
    </row>
    <row r="449" spans="7:56" s="338" customFormat="1">
      <c r="G449" s="340"/>
      <c r="L449" s="340"/>
      <c r="P449" s="340"/>
      <c r="U449" s="340"/>
      <c r="V449" s="340"/>
      <c r="Z449" s="340"/>
      <c r="AE449" s="340"/>
      <c r="AI449" s="340"/>
      <c r="AN449" s="340"/>
      <c r="AO449" s="340"/>
      <c r="AS449" s="340"/>
      <c r="AX449" s="340"/>
      <c r="BB449" s="340"/>
      <c r="BD449" s="339"/>
    </row>
    <row r="450" spans="7:56" s="338" customFormat="1">
      <c r="G450" s="340"/>
      <c r="L450" s="340"/>
      <c r="P450" s="340"/>
      <c r="U450" s="340"/>
      <c r="V450" s="340"/>
      <c r="Z450" s="340"/>
      <c r="AE450" s="340"/>
      <c r="AI450" s="340"/>
      <c r="AN450" s="340"/>
      <c r="AO450" s="340"/>
      <c r="AS450" s="340"/>
      <c r="AX450" s="340"/>
      <c r="BB450" s="340"/>
      <c r="BD450" s="339"/>
    </row>
    <row r="451" spans="7:56" s="338" customFormat="1">
      <c r="G451" s="340"/>
      <c r="L451" s="340"/>
      <c r="P451" s="340"/>
      <c r="U451" s="340"/>
      <c r="V451" s="340"/>
      <c r="Z451" s="340"/>
      <c r="AE451" s="340"/>
      <c r="AI451" s="340"/>
      <c r="AN451" s="340"/>
      <c r="AO451" s="340"/>
      <c r="AS451" s="340"/>
      <c r="AX451" s="340"/>
      <c r="BB451" s="340"/>
      <c r="BD451" s="339"/>
    </row>
    <row r="452" spans="7:56" s="338" customFormat="1">
      <c r="G452" s="340"/>
      <c r="L452" s="340"/>
      <c r="P452" s="340"/>
      <c r="U452" s="340"/>
      <c r="V452" s="340"/>
      <c r="Z452" s="340"/>
      <c r="AE452" s="340"/>
      <c r="AI452" s="340"/>
      <c r="AN452" s="340"/>
      <c r="AO452" s="340"/>
      <c r="AS452" s="340"/>
      <c r="AX452" s="340"/>
      <c r="BB452" s="340"/>
      <c r="BD452" s="339"/>
    </row>
    <row r="453" spans="7:56" s="338" customFormat="1">
      <c r="G453" s="340"/>
      <c r="L453" s="340"/>
      <c r="P453" s="340"/>
      <c r="U453" s="340"/>
      <c r="V453" s="340"/>
      <c r="Z453" s="340"/>
      <c r="AE453" s="340"/>
      <c r="AI453" s="340"/>
      <c r="AN453" s="340"/>
      <c r="AO453" s="340"/>
      <c r="AS453" s="340"/>
      <c r="AX453" s="340"/>
      <c r="BB453" s="340"/>
      <c r="BD453" s="339"/>
    </row>
    <row r="454" spans="7:56" s="338" customFormat="1">
      <c r="G454" s="340"/>
      <c r="L454" s="340"/>
      <c r="P454" s="340"/>
      <c r="U454" s="340"/>
      <c r="V454" s="340"/>
      <c r="Z454" s="340"/>
      <c r="AE454" s="340"/>
      <c r="AI454" s="340"/>
      <c r="AN454" s="340"/>
      <c r="AO454" s="340"/>
      <c r="AS454" s="340"/>
      <c r="AX454" s="340"/>
      <c r="BB454" s="340"/>
      <c r="BD454" s="339"/>
    </row>
    <row r="455" spans="7:56" s="338" customFormat="1">
      <c r="G455" s="340"/>
      <c r="L455" s="340"/>
      <c r="P455" s="340"/>
      <c r="U455" s="340"/>
      <c r="V455" s="340"/>
      <c r="Z455" s="340"/>
      <c r="AE455" s="340"/>
      <c r="AI455" s="340"/>
      <c r="AN455" s="340"/>
      <c r="AO455" s="340"/>
      <c r="AS455" s="340"/>
      <c r="AX455" s="340"/>
      <c r="BB455" s="340"/>
      <c r="BD455" s="339"/>
    </row>
    <row r="456" spans="7:56" s="338" customFormat="1">
      <c r="G456" s="340"/>
      <c r="L456" s="340"/>
      <c r="P456" s="340"/>
      <c r="U456" s="340"/>
      <c r="V456" s="340"/>
      <c r="Z456" s="340"/>
      <c r="AE456" s="340"/>
      <c r="AI456" s="340"/>
      <c r="AN456" s="340"/>
      <c r="AO456" s="340"/>
      <c r="AS456" s="340"/>
      <c r="AX456" s="340"/>
      <c r="BB456" s="340"/>
      <c r="BD456" s="339"/>
    </row>
    <row r="457" spans="7:56" s="338" customFormat="1">
      <c r="G457" s="340"/>
      <c r="L457" s="340"/>
      <c r="P457" s="340"/>
      <c r="U457" s="340"/>
      <c r="V457" s="340"/>
      <c r="Z457" s="340"/>
      <c r="AE457" s="340"/>
      <c r="AI457" s="340"/>
      <c r="AN457" s="340"/>
      <c r="AO457" s="340"/>
      <c r="AS457" s="340"/>
      <c r="AX457" s="340"/>
      <c r="BB457" s="340"/>
      <c r="BD457" s="339"/>
    </row>
    <row r="458" spans="7:56" s="338" customFormat="1">
      <c r="G458" s="340"/>
      <c r="L458" s="340"/>
      <c r="P458" s="340"/>
      <c r="U458" s="340"/>
      <c r="V458" s="340"/>
      <c r="Z458" s="340"/>
      <c r="AE458" s="340"/>
      <c r="AI458" s="340"/>
      <c r="AN458" s="340"/>
      <c r="AO458" s="340"/>
      <c r="AS458" s="340"/>
      <c r="AX458" s="340"/>
      <c r="BB458" s="340"/>
      <c r="BD458" s="339"/>
    </row>
    <row r="459" spans="7:56" s="338" customFormat="1">
      <c r="G459" s="340"/>
      <c r="L459" s="340"/>
      <c r="P459" s="340"/>
      <c r="U459" s="340"/>
      <c r="V459" s="340"/>
      <c r="Z459" s="340"/>
      <c r="AE459" s="340"/>
      <c r="AI459" s="340"/>
      <c r="AN459" s="340"/>
      <c r="AO459" s="340"/>
      <c r="AS459" s="340"/>
      <c r="AX459" s="340"/>
      <c r="BB459" s="340"/>
      <c r="BD459" s="339"/>
    </row>
    <row r="460" spans="7:56" s="338" customFormat="1">
      <c r="G460" s="340"/>
      <c r="L460" s="340"/>
      <c r="P460" s="340"/>
      <c r="U460" s="340"/>
      <c r="V460" s="340"/>
      <c r="Z460" s="340"/>
      <c r="AE460" s="340"/>
      <c r="AI460" s="340"/>
      <c r="AN460" s="340"/>
      <c r="AO460" s="340"/>
      <c r="AS460" s="340"/>
      <c r="AX460" s="340"/>
      <c r="BB460" s="340"/>
      <c r="BD460" s="339"/>
    </row>
    <row r="461" spans="7:56" s="338" customFormat="1">
      <c r="G461" s="340"/>
      <c r="L461" s="340"/>
      <c r="P461" s="340"/>
      <c r="U461" s="340"/>
      <c r="V461" s="340"/>
      <c r="Z461" s="340"/>
      <c r="AE461" s="340"/>
      <c r="AI461" s="340"/>
      <c r="AN461" s="340"/>
      <c r="AO461" s="340"/>
      <c r="AS461" s="340"/>
      <c r="AX461" s="340"/>
      <c r="BB461" s="340"/>
      <c r="BD461" s="339"/>
    </row>
    <row r="462" spans="7:56" s="338" customFormat="1">
      <c r="G462" s="340"/>
      <c r="L462" s="340"/>
      <c r="P462" s="340"/>
      <c r="U462" s="340"/>
      <c r="V462" s="340"/>
      <c r="Z462" s="340"/>
      <c r="AE462" s="340"/>
      <c r="AI462" s="340"/>
      <c r="AN462" s="340"/>
      <c r="AO462" s="340"/>
      <c r="AS462" s="340"/>
      <c r="AX462" s="340"/>
      <c r="BB462" s="340"/>
      <c r="BD462" s="339"/>
    </row>
    <row r="463" spans="7:56" s="338" customFormat="1">
      <c r="G463" s="340"/>
      <c r="L463" s="340"/>
      <c r="P463" s="340"/>
      <c r="U463" s="340"/>
      <c r="V463" s="340"/>
      <c r="Z463" s="340"/>
      <c r="AE463" s="340"/>
      <c r="AI463" s="340"/>
      <c r="AN463" s="340"/>
      <c r="AO463" s="340"/>
      <c r="AS463" s="340"/>
      <c r="AX463" s="340"/>
      <c r="BB463" s="340"/>
      <c r="BD463" s="339"/>
    </row>
    <row r="464" spans="7:56" s="338" customFormat="1">
      <c r="G464" s="340"/>
      <c r="L464" s="340"/>
      <c r="P464" s="340"/>
      <c r="U464" s="340"/>
      <c r="V464" s="340"/>
      <c r="Z464" s="340"/>
      <c r="AE464" s="340"/>
      <c r="AI464" s="340"/>
      <c r="AN464" s="340"/>
      <c r="AO464" s="340"/>
      <c r="AS464" s="340"/>
      <c r="AX464" s="340"/>
      <c r="BB464" s="340"/>
      <c r="BD464" s="339"/>
    </row>
    <row r="465" spans="7:56" s="338" customFormat="1">
      <c r="G465" s="340"/>
      <c r="L465" s="340"/>
      <c r="P465" s="340"/>
      <c r="U465" s="340"/>
      <c r="V465" s="340"/>
      <c r="Z465" s="340"/>
      <c r="AE465" s="340"/>
      <c r="AI465" s="340"/>
      <c r="AN465" s="340"/>
      <c r="AO465" s="340"/>
      <c r="AS465" s="340"/>
      <c r="AX465" s="340"/>
      <c r="BB465" s="340"/>
      <c r="BD465" s="339"/>
    </row>
    <row r="466" spans="7:56" s="338" customFormat="1">
      <c r="G466" s="340"/>
      <c r="L466" s="340"/>
      <c r="P466" s="340"/>
      <c r="U466" s="340"/>
      <c r="V466" s="340"/>
      <c r="Z466" s="340"/>
      <c r="AE466" s="340"/>
      <c r="AI466" s="340"/>
      <c r="AN466" s="340"/>
      <c r="AO466" s="340"/>
      <c r="AS466" s="340"/>
      <c r="AX466" s="340"/>
      <c r="BB466" s="340"/>
      <c r="BD466" s="339"/>
    </row>
    <row r="467" spans="7:56" s="338" customFormat="1">
      <c r="G467" s="340"/>
      <c r="L467" s="340"/>
      <c r="P467" s="340"/>
      <c r="U467" s="340"/>
      <c r="V467" s="340"/>
      <c r="Z467" s="340"/>
      <c r="AE467" s="340"/>
      <c r="AI467" s="340"/>
      <c r="AN467" s="340"/>
      <c r="AO467" s="340"/>
      <c r="AS467" s="340"/>
      <c r="AX467" s="340"/>
      <c r="BB467" s="340"/>
      <c r="BD467" s="339"/>
    </row>
    <row r="468" spans="7:56" s="338" customFormat="1">
      <c r="G468" s="340"/>
      <c r="L468" s="340"/>
      <c r="P468" s="340"/>
      <c r="U468" s="340"/>
      <c r="V468" s="340"/>
      <c r="Z468" s="340"/>
      <c r="AE468" s="340"/>
      <c r="AI468" s="340"/>
      <c r="AN468" s="340"/>
      <c r="AO468" s="340"/>
      <c r="AS468" s="340"/>
      <c r="AX468" s="340"/>
      <c r="BB468" s="340"/>
      <c r="BD468" s="339"/>
    </row>
    <row r="469" spans="7:56" s="338" customFormat="1">
      <c r="G469" s="340"/>
      <c r="L469" s="340"/>
      <c r="P469" s="340"/>
      <c r="U469" s="340"/>
      <c r="V469" s="340"/>
      <c r="Z469" s="340"/>
      <c r="AE469" s="340"/>
      <c r="AI469" s="340"/>
      <c r="AN469" s="340"/>
      <c r="AO469" s="340"/>
      <c r="AS469" s="340"/>
      <c r="AX469" s="340"/>
      <c r="BB469" s="340"/>
      <c r="BD469" s="339"/>
    </row>
    <row r="470" spans="7:56" s="338" customFormat="1">
      <c r="G470" s="340"/>
      <c r="L470" s="340"/>
      <c r="P470" s="340"/>
      <c r="U470" s="340"/>
      <c r="V470" s="340"/>
      <c r="Z470" s="340"/>
      <c r="AE470" s="340"/>
      <c r="AI470" s="340"/>
      <c r="AN470" s="340"/>
      <c r="AO470" s="340"/>
      <c r="AS470" s="340"/>
      <c r="AX470" s="340"/>
      <c r="BB470" s="340"/>
      <c r="BD470" s="339"/>
    </row>
    <row r="471" spans="7:56" s="338" customFormat="1">
      <c r="G471" s="340"/>
      <c r="L471" s="340"/>
      <c r="P471" s="340"/>
      <c r="U471" s="340"/>
      <c r="V471" s="340"/>
      <c r="Z471" s="340"/>
      <c r="AE471" s="340"/>
      <c r="AI471" s="340"/>
      <c r="AN471" s="340"/>
      <c r="AO471" s="340"/>
      <c r="AS471" s="340"/>
      <c r="AX471" s="340"/>
      <c r="BB471" s="340"/>
      <c r="BD471" s="339"/>
    </row>
    <row r="472" spans="7:56" s="338" customFormat="1">
      <c r="G472" s="340"/>
      <c r="L472" s="340"/>
      <c r="P472" s="340"/>
      <c r="U472" s="340"/>
      <c r="V472" s="340"/>
      <c r="Z472" s="340"/>
      <c r="AE472" s="340"/>
      <c r="AI472" s="340"/>
      <c r="AN472" s="340"/>
      <c r="AO472" s="340"/>
      <c r="AS472" s="340"/>
      <c r="AX472" s="340"/>
      <c r="BB472" s="340"/>
      <c r="BD472" s="339"/>
    </row>
    <row r="473" spans="7:56" s="338" customFormat="1">
      <c r="G473" s="340"/>
      <c r="L473" s="340"/>
      <c r="P473" s="340"/>
      <c r="U473" s="340"/>
      <c r="V473" s="340"/>
      <c r="Z473" s="340"/>
      <c r="AE473" s="340"/>
      <c r="AI473" s="340"/>
      <c r="AN473" s="340"/>
      <c r="AO473" s="340"/>
      <c r="AS473" s="340"/>
      <c r="AX473" s="340"/>
      <c r="BB473" s="340"/>
      <c r="BD473" s="339"/>
    </row>
    <row r="474" spans="7:56" s="338" customFormat="1">
      <c r="G474" s="340"/>
      <c r="L474" s="340"/>
      <c r="P474" s="340"/>
      <c r="U474" s="340"/>
      <c r="V474" s="340"/>
      <c r="Z474" s="340"/>
      <c r="AE474" s="340"/>
      <c r="AI474" s="340"/>
      <c r="AN474" s="340"/>
      <c r="AO474" s="340"/>
      <c r="AS474" s="340"/>
      <c r="AX474" s="340"/>
      <c r="BB474" s="340"/>
      <c r="BD474" s="339"/>
    </row>
    <row r="475" spans="7:56" s="338" customFormat="1">
      <c r="G475" s="340"/>
      <c r="L475" s="340"/>
      <c r="P475" s="340"/>
      <c r="U475" s="340"/>
      <c r="V475" s="340"/>
      <c r="Z475" s="340"/>
      <c r="AE475" s="340"/>
      <c r="AI475" s="340"/>
      <c r="AN475" s="340"/>
      <c r="AO475" s="340"/>
      <c r="AS475" s="340"/>
      <c r="AX475" s="340"/>
      <c r="BB475" s="340"/>
      <c r="BD475" s="339"/>
    </row>
    <row r="476" spans="7:56" s="338" customFormat="1">
      <c r="G476" s="340"/>
      <c r="L476" s="340"/>
      <c r="P476" s="340"/>
      <c r="U476" s="340"/>
      <c r="V476" s="340"/>
      <c r="Z476" s="340"/>
      <c r="AE476" s="340"/>
      <c r="AI476" s="340"/>
      <c r="AN476" s="340"/>
      <c r="AO476" s="340"/>
      <c r="AS476" s="340"/>
      <c r="AX476" s="340"/>
      <c r="BB476" s="340"/>
      <c r="BD476" s="339"/>
    </row>
    <row r="477" spans="7:56" s="338" customFormat="1">
      <c r="G477" s="340"/>
      <c r="L477" s="340"/>
      <c r="P477" s="340"/>
      <c r="U477" s="340"/>
      <c r="V477" s="340"/>
      <c r="Z477" s="340"/>
      <c r="AE477" s="340"/>
      <c r="AI477" s="340"/>
      <c r="AN477" s="340"/>
      <c r="AO477" s="340"/>
      <c r="AS477" s="340"/>
      <c r="AX477" s="340"/>
      <c r="BB477" s="340"/>
      <c r="BD477" s="339"/>
    </row>
    <row r="478" spans="7:56" s="338" customFormat="1">
      <c r="G478" s="340"/>
      <c r="L478" s="340"/>
      <c r="P478" s="340"/>
      <c r="U478" s="340"/>
      <c r="V478" s="340"/>
      <c r="Z478" s="340"/>
      <c r="AE478" s="340"/>
      <c r="AI478" s="340"/>
      <c r="AN478" s="340"/>
      <c r="AO478" s="340"/>
      <c r="AS478" s="340"/>
      <c r="AX478" s="340"/>
      <c r="BB478" s="340"/>
      <c r="BD478" s="339"/>
    </row>
    <row r="479" spans="7:56" s="338" customFormat="1">
      <c r="G479" s="340"/>
      <c r="L479" s="340"/>
      <c r="P479" s="340"/>
      <c r="U479" s="340"/>
      <c r="V479" s="340"/>
      <c r="Z479" s="340"/>
      <c r="AE479" s="340"/>
      <c r="AI479" s="340"/>
      <c r="AN479" s="340"/>
      <c r="AO479" s="340"/>
      <c r="AS479" s="340"/>
      <c r="AX479" s="340"/>
      <c r="BB479" s="340"/>
      <c r="BD479" s="339"/>
    </row>
    <row r="480" spans="7:56" s="338" customFormat="1">
      <c r="G480" s="340"/>
      <c r="L480" s="340"/>
      <c r="P480" s="340"/>
      <c r="U480" s="340"/>
      <c r="V480" s="340"/>
      <c r="Z480" s="340"/>
      <c r="AE480" s="340"/>
      <c r="AI480" s="340"/>
      <c r="AN480" s="340"/>
      <c r="AO480" s="340"/>
      <c r="AS480" s="340"/>
      <c r="AX480" s="340"/>
      <c r="BB480" s="340"/>
      <c r="BD480" s="339"/>
    </row>
    <row r="481" spans="7:56" s="338" customFormat="1">
      <c r="G481" s="340"/>
      <c r="L481" s="340"/>
      <c r="P481" s="340"/>
      <c r="U481" s="340"/>
      <c r="V481" s="340"/>
      <c r="Z481" s="340"/>
      <c r="AE481" s="340"/>
      <c r="AI481" s="340"/>
      <c r="AN481" s="340"/>
      <c r="AO481" s="340"/>
      <c r="AS481" s="340"/>
      <c r="AX481" s="340"/>
      <c r="BB481" s="340"/>
      <c r="BD481" s="339"/>
    </row>
    <row r="482" spans="7:56" s="338" customFormat="1">
      <c r="G482" s="340"/>
      <c r="L482" s="340"/>
      <c r="P482" s="340"/>
      <c r="U482" s="340"/>
      <c r="V482" s="340"/>
      <c r="Z482" s="340"/>
      <c r="AE482" s="340"/>
      <c r="AI482" s="340"/>
      <c r="AN482" s="340"/>
      <c r="AO482" s="340"/>
      <c r="AS482" s="340"/>
      <c r="AX482" s="340"/>
      <c r="BB482" s="340"/>
      <c r="BD482" s="339"/>
    </row>
    <row r="483" spans="7:56" s="338" customFormat="1">
      <c r="G483" s="340"/>
      <c r="L483" s="340"/>
      <c r="P483" s="340"/>
      <c r="U483" s="340"/>
      <c r="V483" s="340"/>
      <c r="Z483" s="340"/>
      <c r="AE483" s="340"/>
      <c r="AI483" s="340"/>
      <c r="AN483" s="340"/>
      <c r="AO483" s="340"/>
      <c r="AS483" s="340"/>
      <c r="AX483" s="340"/>
      <c r="BB483" s="340"/>
      <c r="BD483" s="339"/>
    </row>
    <row r="484" spans="7:56" s="338" customFormat="1">
      <c r="G484" s="340"/>
      <c r="L484" s="340"/>
      <c r="P484" s="340"/>
      <c r="U484" s="340"/>
      <c r="V484" s="340"/>
      <c r="Z484" s="340"/>
      <c r="AE484" s="340"/>
      <c r="AI484" s="340"/>
      <c r="AN484" s="340"/>
      <c r="AO484" s="340"/>
      <c r="AS484" s="340"/>
      <c r="AX484" s="340"/>
      <c r="BB484" s="340"/>
      <c r="BD484" s="339"/>
    </row>
    <row r="485" spans="7:56" s="338" customFormat="1">
      <c r="G485" s="340"/>
      <c r="L485" s="340"/>
      <c r="P485" s="340"/>
      <c r="U485" s="340"/>
      <c r="V485" s="340"/>
      <c r="Z485" s="340"/>
      <c r="AE485" s="340"/>
      <c r="AI485" s="340"/>
      <c r="AN485" s="340"/>
      <c r="AO485" s="340"/>
      <c r="AS485" s="340"/>
      <c r="AX485" s="340"/>
      <c r="BB485" s="340"/>
      <c r="BD485" s="339"/>
    </row>
    <row r="486" spans="7:56" s="338" customFormat="1">
      <c r="G486" s="340"/>
      <c r="L486" s="340"/>
      <c r="P486" s="340"/>
      <c r="U486" s="340"/>
      <c r="V486" s="340"/>
      <c r="Z486" s="340"/>
      <c r="AE486" s="340"/>
      <c r="AI486" s="340"/>
      <c r="AN486" s="340"/>
      <c r="AO486" s="340"/>
      <c r="AS486" s="340"/>
      <c r="AX486" s="340"/>
      <c r="BB486" s="340"/>
      <c r="BD486" s="339"/>
    </row>
    <row r="487" spans="7:56" s="338" customFormat="1">
      <c r="G487" s="340"/>
      <c r="L487" s="340"/>
      <c r="P487" s="340"/>
      <c r="U487" s="340"/>
      <c r="V487" s="340"/>
      <c r="Z487" s="340"/>
      <c r="AE487" s="340"/>
      <c r="AI487" s="340"/>
      <c r="AN487" s="340"/>
      <c r="AO487" s="340"/>
      <c r="AS487" s="340"/>
      <c r="AX487" s="340"/>
      <c r="BB487" s="340"/>
      <c r="BD487" s="339"/>
    </row>
    <row r="488" spans="7:56" s="338" customFormat="1">
      <c r="G488" s="340"/>
      <c r="L488" s="340"/>
      <c r="P488" s="340"/>
      <c r="U488" s="340"/>
      <c r="V488" s="340"/>
      <c r="Z488" s="340"/>
      <c r="AE488" s="340"/>
      <c r="AI488" s="340"/>
      <c r="AN488" s="340"/>
      <c r="AO488" s="340"/>
      <c r="AS488" s="340"/>
      <c r="AX488" s="340"/>
      <c r="BB488" s="340"/>
      <c r="BD488" s="339"/>
    </row>
    <row r="489" spans="7:56" s="338" customFormat="1">
      <c r="G489" s="340"/>
      <c r="L489" s="340"/>
      <c r="P489" s="340"/>
      <c r="U489" s="340"/>
      <c r="V489" s="340"/>
      <c r="Z489" s="340"/>
      <c r="AE489" s="340"/>
      <c r="AI489" s="340"/>
      <c r="AN489" s="340"/>
      <c r="AO489" s="340"/>
      <c r="AS489" s="340"/>
      <c r="AX489" s="340"/>
      <c r="BB489" s="340"/>
      <c r="BD489" s="339"/>
    </row>
    <row r="490" spans="7:56" s="338" customFormat="1">
      <c r="G490" s="340"/>
      <c r="L490" s="340"/>
      <c r="P490" s="340"/>
      <c r="U490" s="340"/>
      <c r="V490" s="340"/>
      <c r="Z490" s="340"/>
      <c r="AE490" s="340"/>
      <c r="AI490" s="340"/>
      <c r="AN490" s="340"/>
      <c r="AO490" s="340"/>
      <c r="AS490" s="340"/>
      <c r="AX490" s="340"/>
      <c r="BB490" s="340"/>
      <c r="BD490" s="339"/>
    </row>
    <row r="491" spans="7:56" s="338" customFormat="1">
      <c r="G491" s="340"/>
      <c r="L491" s="340"/>
      <c r="P491" s="340"/>
      <c r="U491" s="340"/>
      <c r="V491" s="340"/>
      <c r="Z491" s="340"/>
      <c r="AE491" s="340"/>
      <c r="AI491" s="340"/>
      <c r="AN491" s="340"/>
      <c r="AO491" s="340"/>
      <c r="AS491" s="340"/>
      <c r="AX491" s="340"/>
      <c r="BB491" s="340"/>
      <c r="BD491" s="339"/>
    </row>
    <row r="492" spans="7:56" s="338" customFormat="1">
      <c r="G492" s="340"/>
      <c r="L492" s="340"/>
      <c r="P492" s="340"/>
      <c r="U492" s="340"/>
      <c r="V492" s="340"/>
      <c r="Z492" s="340"/>
      <c r="AE492" s="340"/>
      <c r="AI492" s="340"/>
      <c r="AN492" s="340"/>
      <c r="AO492" s="340"/>
      <c r="AS492" s="340"/>
      <c r="AX492" s="340"/>
      <c r="BB492" s="340"/>
      <c r="BD492" s="339"/>
    </row>
    <row r="493" spans="7:56" s="338" customFormat="1">
      <c r="G493" s="340"/>
      <c r="L493" s="340"/>
      <c r="P493" s="340"/>
      <c r="U493" s="340"/>
      <c r="V493" s="340"/>
      <c r="Z493" s="340"/>
      <c r="AE493" s="340"/>
      <c r="AI493" s="340"/>
      <c r="AN493" s="340"/>
      <c r="AO493" s="340"/>
      <c r="AS493" s="340"/>
      <c r="AX493" s="340"/>
      <c r="BB493" s="340"/>
      <c r="BD493" s="339"/>
    </row>
    <row r="494" spans="7:56" s="338" customFormat="1">
      <c r="G494" s="340"/>
      <c r="L494" s="340"/>
      <c r="P494" s="340"/>
      <c r="U494" s="340"/>
      <c r="V494" s="340"/>
      <c r="Z494" s="340"/>
      <c r="AE494" s="340"/>
      <c r="AI494" s="340"/>
      <c r="AN494" s="340"/>
      <c r="AO494" s="340"/>
      <c r="AS494" s="340"/>
      <c r="AX494" s="340"/>
      <c r="BB494" s="340"/>
      <c r="BD494" s="339"/>
    </row>
    <row r="495" spans="7:56" s="338" customFormat="1">
      <c r="G495" s="340"/>
      <c r="L495" s="340"/>
      <c r="P495" s="340"/>
      <c r="U495" s="340"/>
      <c r="V495" s="340"/>
      <c r="Z495" s="340"/>
      <c r="AE495" s="340"/>
      <c r="AI495" s="340"/>
      <c r="AN495" s="340"/>
      <c r="AO495" s="340"/>
      <c r="AS495" s="340"/>
      <c r="AX495" s="340"/>
      <c r="BB495" s="340"/>
      <c r="BD495" s="339"/>
    </row>
    <row r="496" spans="7:56" s="338" customFormat="1">
      <c r="G496" s="340"/>
      <c r="L496" s="340"/>
      <c r="P496" s="340"/>
      <c r="U496" s="340"/>
      <c r="V496" s="340"/>
      <c r="Z496" s="340"/>
      <c r="AE496" s="340"/>
      <c r="AI496" s="340"/>
      <c r="AN496" s="340"/>
      <c r="AO496" s="340"/>
      <c r="AS496" s="340"/>
      <c r="AX496" s="340"/>
      <c r="BB496" s="340"/>
      <c r="BD496" s="339"/>
    </row>
    <row r="497" spans="7:56" s="338" customFormat="1">
      <c r="G497" s="340"/>
      <c r="L497" s="340"/>
      <c r="P497" s="340"/>
      <c r="U497" s="340"/>
      <c r="V497" s="340"/>
      <c r="Z497" s="340"/>
      <c r="AE497" s="340"/>
      <c r="AI497" s="340"/>
      <c r="AN497" s="340"/>
      <c r="AO497" s="340"/>
      <c r="AS497" s="340"/>
      <c r="AX497" s="340"/>
      <c r="BB497" s="340"/>
      <c r="BD497" s="339"/>
    </row>
    <row r="498" spans="7:56" s="338" customFormat="1">
      <c r="G498" s="340"/>
      <c r="L498" s="340"/>
      <c r="P498" s="340"/>
      <c r="U498" s="340"/>
      <c r="V498" s="340"/>
      <c r="Z498" s="340"/>
      <c r="AE498" s="340"/>
      <c r="AI498" s="340"/>
      <c r="AN498" s="340"/>
      <c r="AO498" s="340"/>
      <c r="AS498" s="340"/>
      <c r="AX498" s="340"/>
      <c r="BB498" s="340"/>
      <c r="BD498" s="339"/>
    </row>
    <row r="499" spans="7:56" s="338" customFormat="1">
      <c r="G499" s="340"/>
      <c r="L499" s="340"/>
      <c r="P499" s="340"/>
      <c r="U499" s="340"/>
      <c r="V499" s="340"/>
      <c r="Z499" s="340"/>
      <c r="AE499" s="340"/>
      <c r="AI499" s="340"/>
      <c r="AN499" s="340"/>
      <c r="AO499" s="340"/>
      <c r="AS499" s="340"/>
      <c r="AX499" s="340"/>
      <c r="BB499" s="340"/>
      <c r="BD499" s="339"/>
    </row>
    <row r="500" spans="7:56" s="338" customFormat="1">
      <c r="G500" s="340"/>
      <c r="L500" s="340"/>
      <c r="P500" s="340"/>
      <c r="U500" s="340"/>
      <c r="V500" s="340"/>
      <c r="Z500" s="340"/>
      <c r="AE500" s="340"/>
      <c r="AI500" s="340"/>
      <c r="AN500" s="340"/>
      <c r="AO500" s="340"/>
      <c r="AS500" s="340"/>
      <c r="AX500" s="340"/>
      <c r="BB500" s="340"/>
      <c r="BD500" s="339"/>
    </row>
    <row r="501" spans="7:56" s="338" customFormat="1">
      <c r="G501" s="340"/>
      <c r="L501" s="340"/>
      <c r="P501" s="340"/>
      <c r="U501" s="340"/>
      <c r="V501" s="340"/>
      <c r="Z501" s="340"/>
      <c r="AE501" s="340"/>
      <c r="AI501" s="340"/>
      <c r="AN501" s="340"/>
      <c r="AO501" s="340"/>
      <c r="AS501" s="340"/>
      <c r="AX501" s="340"/>
      <c r="BB501" s="340"/>
      <c r="BD501" s="339"/>
    </row>
    <row r="502" spans="7:56" s="338" customFormat="1">
      <c r="G502" s="340"/>
      <c r="L502" s="340"/>
      <c r="P502" s="340"/>
      <c r="U502" s="340"/>
      <c r="V502" s="340"/>
      <c r="Z502" s="340"/>
      <c r="AE502" s="340"/>
      <c r="AI502" s="340"/>
      <c r="AN502" s="340"/>
      <c r="AO502" s="340"/>
      <c r="AS502" s="340"/>
      <c r="AX502" s="340"/>
      <c r="BB502" s="340"/>
      <c r="BD502" s="339"/>
    </row>
    <row r="503" spans="7:56" s="338" customFormat="1">
      <c r="G503" s="340"/>
      <c r="L503" s="340"/>
      <c r="P503" s="340"/>
      <c r="U503" s="340"/>
      <c r="V503" s="340"/>
      <c r="Z503" s="340"/>
      <c r="AE503" s="340"/>
      <c r="AI503" s="340"/>
      <c r="AN503" s="340"/>
      <c r="AO503" s="340"/>
      <c r="AS503" s="340"/>
      <c r="AX503" s="340"/>
      <c r="BB503" s="340"/>
      <c r="BD503" s="339"/>
    </row>
    <row r="504" spans="7:56" s="338" customFormat="1">
      <c r="G504" s="340"/>
      <c r="L504" s="340"/>
      <c r="P504" s="340"/>
      <c r="U504" s="340"/>
      <c r="V504" s="340"/>
      <c r="Z504" s="340"/>
      <c r="AE504" s="340"/>
      <c r="AI504" s="340"/>
      <c r="AN504" s="340"/>
      <c r="AO504" s="340"/>
      <c r="AS504" s="340"/>
      <c r="AX504" s="340"/>
      <c r="BB504" s="340"/>
      <c r="BD504" s="339"/>
    </row>
    <row r="505" spans="7:56" s="338" customFormat="1">
      <c r="G505" s="340"/>
      <c r="L505" s="340"/>
      <c r="P505" s="340"/>
      <c r="U505" s="340"/>
      <c r="V505" s="340"/>
      <c r="Z505" s="340"/>
      <c r="AE505" s="340"/>
      <c r="AI505" s="340"/>
      <c r="AN505" s="340"/>
      <c r="AO505" s="340"/>
      <c r="AS505" s="340"/>
      <c r="AX505" s="340"/>
      <c r="BB505" s="340"/>
      <c r="BD505" s="339"/>
    </row>
    <row r="506" spans="7:56" s="338" customFormat="1">
      <c r="G506" s="340"/>
      <c r="L506" s="340"/>
      <c r="P506" s="340"/>
      <c r="U506" s="340"/>
      <c r="V506" s="340"/>
      <c r="Z506" s="340"/>
      <c r="AE506" s="340"/>
      <c r="AI506" s="340"/>
      <c r="AN506" s="340"/>
      <c r="AO506" s="340"/>
      <c r="AS506" s="340"/>
      <c r="AX506" s="340"/>
      <c r="BB506" s="340"/>
      <c r="BD506" s="339"/>
    </row>
    <row r="507" spans="7:56" s="338" customFormat="1">
      <c r="G507" s="340"/>
      <c r="L507" s="340"/>
      <c r="P507" s="340"/>
      <c r="U507" s="340"/>
      <c r="V507" s="340"/>
      <c r="Z507" s="340"/>
      <c r="AE507" s="340"/>
      <c r="AI507" s="340"/>
      <c r="AN507" s="340"/>
      <c r="AO507" s="340"/>
      <c r="AS507" s="340"/>
      <c r="AX507" s="340"/>
      <c r="BB507" s="340"/>
      <c r="BD507" s="339"/>
    </row>
    <row r="508" spans="7:56" s="338" customFormat="1">
      <c r="G508" s="340"/>
      <c r="L508" s="340"/>
      <c r="P508" s="340"/>
      <c r="U508" s="340"/>
      <c r="V508" s="340"/>
      <c r="Z508" s="340"/>
      <c r="AE508" s="340"/>
      <c r="AI508" s="340"/>
      <c r="AN508" s="340"/>
      <c r="AO508" s="340"/>
      <c r="AS508" s="340"/>
      <c r="AX508" s="340"/>
      <c r="BB508" s="340"/>
      <c r="BD508" s="339"/>
    </row>
    <row r="509" spans="7:56" s="338" customFormat="1">
      <c r="G509" s="340"/>
      <c r="L509" s="340"/>
      <c r="P509" s="340"/>
      <c r="U509" s="340"/>
      <c r="V509" s="340"/>
      <c r="Z509" s="340"/>
      <c r="AE509" s="340"/>
      <c r="AI509" s="340"/>
      <c r="AN509" s="340"/>
      <c r="AO509" s="340"/>
      <c r="AS509" s="340"/>
      <c r="AX509" s="340"/>
      <c r="BB509" s="340"/>
      <c r="BD509" s="339"/>
    </row>
    <row r="510" spans="7:56" s="338" customFormat="1">
      <c r="G510" s="340"/>
      <c r="L510" s="340"/>
      <c r="P510" s="340"/>
      <c r="U510" s="340"/>
      <c r="V510" s="340"/>
      <c r="Z510" s="340"/>
      <c r="AE510" s="340"/>
      <c r="AI510" s="340"/>
      <c r="AN510" s="340"/>
      <c r="AO510" s="340"/>
      <c r="AS510" s="340"/>
      <c r="AX510" s="340"/>
      <c r="BB510" s="340"/>
      <c r="BD510" s="339"/>
    </row>
    <row r="511" spans="7:56" s="338" customFormat="1">
      <c r="G511" s="340"/>
      <c r="L511" s="340"/>
      <c r="P511" s="340"/>
      <c r="U511" s="340"/>
      <c r="V511" s="340"/>
      <c r="Z511" s="340"/>
      <c r="AE511" s="340"/>
      <c r="AI511" s="340"/>
      <c r="AN511" s="340"/>
      <c r="AO511" s="340"/>
      <c r="AS511" s="340"/>
      <c r="AX511" s="340"/>
      <c r="BB511" s="340"/>
      <c r="BD511" s="339"/>
    </row>
    <row r="512" spans="7:56" s="338" customFormat="1">
      <c r="G512" s="340"/>
      <c r="L512" s="340"/>
      <c r="P512" s="340"/>
      <c r="U512" s="340"/>
      <c r="V512" s="340"/>
      <c r="Z512" s="340"/>
      <c r="AE512" s="340"/>
      <c r="AI512" s="340"/>
      <c r="AN512" s="340"/>
      <c r="AO512" s="340"/>
      <c r="AS512" s="340"/>
      <c r="AX512" s="340"/>
      <c r="BB512" s="340"/>
      <c r="BD512" s="339"/>
    </row>
    <row r="513" spans="7:56" s="338" customFormat="1">
      <c r="G513" s="340"/>
      <c r="L513" s="340"/>
      <c r="P513" s="340"/>
      <c r="U513" s="340"/>
      <c r="V513" s="340"/>
      <c r="Z513" s="340"/>
      <c r="AE513" s="340"/>
      <c r="AI513" s="340"/>
      <c r="AN513" s="340"/>
      <c r="AO513" s="340"/>
      <c r="AS513" s="340"/>
      <c r="AX513" s="340"/>
      <c r="BB513" s="340"/>
      <c r="BD513" s="339"/>
    </row>
    <row r="514" spans="7:56" s="338" customFormat="1">
      <c r="G514" s="340"/>
      <c r="L514" s="340"/>
      <c r="P514" s="340"/>
      <c r="U514" s="340"/>
      <c r="V514" s="340"/>
      <c r="Z514" s="340"/>
      <c r="AE514" s="340"/>
      <c r="AI514" s="340"/>
      <c r="AN514" s="340"/>
      <c r="AO514" s="340"/>
      <c r="AS514" s="340"/>
      <c r="AX514" s="340"/>
      <c r="BB514" s="340"/>
      <c r="BD514" s="339"/>
    </row>
    <row r="515" spans="7:56" s="338" customFormat="1">
      <c r="G515" s="340"/>
      <c r="L515" s="340"/>
      <c r="P515" s="340"/>
      <c r="U515" s="340"/>
      <c r="V515" s="340"/>
      <c r="Z515" s="340"/>
      <c r="AE515" s="340"/>
      <c r="AI515" s="340"/>
      <c r="AN515" s="340"/>
      <c r="AO515" s="340"/>
      <c r="AS515" s="340"/>
      <c r="AX515" s="340"/>
      <c r="BB515" s="340"/>
      <c r="BD515" s="339"/>
    </row>
    <row r="516" spans="7:56" s="338" customFormat="1">
      <c r="G516" s="340"/>
      <c r="L516" s="340"/>
      <c r="P516" s="340"/>
      <c r="U516" s="340"/>
      <c r="V516" s="340"/>
      <c r="Z516" s="340"/>
      <c r="AE516" s="340"/>
      <c r="AI516" s="340"/>
      <c r="AN516" s="340"/>
      <c r="AO516" s="340"/>
      <c r="AS516" s="340"/>
      <c r="AX516" s="340"/>
      <c r="BB516" s="340"/>
      <c r="BD516" s="339"/>
    </row>
    <row r="517" spans="7:56" s="338" customFormat="1">
      <c r="G517" s="340"/>
      <c r="L517" s="340"/>
      <c r="P517" s="340"/>
      <c r="U517" s="340"/>
      <c r="V517" s="340"/>
      <c r="Z517" s="340"/>
      <c r="AE517" s="340"/>
      <c r="AI517" s="340"/>
      <c r="AN517" s="340"/>
      <c r="AO517" s="340"/>
      <c r="AS517" s="340"/>
      <c r="AX517" s="340"/>
      <c r="BB517" s="340"/>
      <c r="BD517" s="339"/>
    </row>
    <row r="518" spans="7:56" s="338" customFormat="1">
      <c r="G518" s="340"/>
      <c r="L518" s="340"/>
      <c r="P518" s="340"/>
      <c r="U518" s="340"/>
      <c r="V518" s="340"/>
      <c r="Z518" s="340"/>
      <c r="AE518" s="340"/>
      <c r="AI518" s="340"/>
      <c r="AN518" s="340"/>
      <c r="AO518" s="340"/>
      <c r="AS518" s="340"/>
      <c r="AX518" s="340"/>
      <c r="BB518" s="340"/>
      <c r="BD518" s="339"/>
    </row>
    <row r="519" spans="7:56" s="338" customFormat="1">
      <c r="G519" s="340"/>
      <c r="L519" s="340"/>
      <c r="P519" s="340"/>
      <c r="U519" s="340"/>
      <c r="V519" s="340"/>
      <c r="Z519" s="340"/>
      <c r="AE519" s="340"/>
      <c r="AI519" s="340"/>
      <c r="AN519" s="340"/>
      <c r="AO519" s="340"/>
      <c r="AS519" s="340"/>
      <c r="AX519" s="340"/>
      <c r="BB519" s="340"/>
      <c r="BD519" s="339"/>
    </row>
    <row r="520" spans="7:56" s="338" customFormat="1">
      <c r="G520" s="340"/>
      <c r="L520" s="340"/>
      <c r="P520" s="340"/>
      <c r="U520" s="340"/>
      <c r="V520" s="340"/>
      <c r="Z520" s="340"/>
      <c r="AE520" s="340"/>
      <c r="AI520" s="340"/>
      <c r="AN520" s="340"/>
      <c r="AO520" s="340"/>
      <c r="AS520" s="340"/>
      <c r="AX520" s="340"/>
      <c r="BB520" s="340"/>
      <c r="BD520" s="339"/>
    </row>
    <row r="521" spans="7:56" s="338" customFormat="1">
      <c r="G521" s="340"/>
      <c r="L521" s="340"/>
      <c r="P521" s="340"/>
      <c r="U521" s="340"/>
      <c r="V521" s="340"/>
      <c r="Z521" s="340"/>
      <c r="AE521" s="340"/>
      <c r="AI521" s="340"/>
      <c r="AN521" s="340"/>
      <c r="AO521" s="340"/>
      <c r="AS521" s="340"/>
      <c r="AX521" s="340"/>
      <c r="BB521" s="340"/>
      <c r="BD521" s="339"/>
    </row>
    <row r="522" spans="7:56" s="338" customFormat="1">
      <c r="G522" s="340"/>
      <c r="L522" s="340"/>
      <c r="P522" s="340"/>
      <c r="U522" s="340"/>
      <c r="V522" s="340"/>
      <c r="Z522" s="340"/>
      <c r="AE522" s="340"/>
      <c r="AI522" s="340"/>
      <c r="AN522" s="340"/>
      <c r="AO522" s="340"/>
      <c r="AS522" s="340"/>
      <c r="AX522" s="340"/>
      <c r="BB522" s="340"/>
      <c r="BD522" s="339"/>
    </row>
    <row r="523" spans="7:56" s="338" customFormat="1">
      <c r="G523" s="340"/>
      <c r="L523" s="340"/>
      <c r="P523" s="340"/>
      <c r="U523" s="340"/>
      <c r="V523" s="340"/>
      <c r="Z523" s="340"/>
      <c r="AE523" s="340"/>
      <c r="AI523" s="340"/>
      <c r="AN523" s="340"/>
      <c r="AO523" s="340"/>
      <c r="AS523" s="340"/>
      <c r="AX523" s="340"/>
      <c r="BB523" s="340"/>
      <c r="BD523" s="339"/>
    </row>
    <row r="524" spans="7:56" s="338" customFormat="1">
      <c r="G524" s="340"/>
      <c r="L524" s="340"/>
      <c r="P524" s="340"/>
      <c r="U524" s="340"/>
      <c r="V524" s="340"/>
      <c r="Z524" s="340"/>
      <c r="AE524" s="340"/>
      <c r="AI524" s="340"/>
      <c r="AN524" s="340"/>
      <c r="AO524" s="340"/>
      <c r="AS524" s="340"/>
      <c r="AX524" s="340"/>
      <c r="BB524" s="340"/>
      <c r="BD524" s="339"/>
    </row>
    <row r="525" spans="7:56" s="338" customFormat="1">
      <c r="G525" s="340"/>
      <c r="L525" s="340"/>
      <c r="P525" s="340"/>
      <c r="U525" s="340"/>
      <c r="V525" s="340"/>
      <c r="Z525" s="340"/>
      <c r="AE525" s="340"/>
      <c r="AI525" s="340"/>
      <c r="AN525" s="340"/>
      <c r="AO525" s="340"/>
      <c r="AS525" s="340"/>
      <c r="AX525" s="340"/>
      <c r="BB525" s="340"/>
      <c r="BD525" s="339"/>
    </row>
    <row r="526" spans="7:56" s="338" customFormat="1">
      <c r="G526" s="340"/>
      <c r="L526" s="340"/>
      <c r="P526" s="340"/>
      <c r="U526" s="340"/>
      <c r="V526" s="340"/>
      <c r="Z526" s="340"/>
      <c r="AE526" s="340"/>
      <c r="AI526" s="340"/>
      <c r="AN526" s="340"/>
      <c r="AO526" s="340"/>
      <c r="AS526" s="340"/>
      <c r="AX526" s="340"/>
      <c r="BB526" s="340"/>
      <c r="BD526" s="339"/>
    </row>
    <row r="527" spans="7:56" s="338" customFormat="1">
      <c r="G527" s="340"/>
      <c r="L527" s="340"/>
      <c r="P527" s="340"/>
      <c r="U527" s="340"/>
      <c r="V527" s="340"/>
      <c r="Z527" s="340"/>
      <c r="AE527" s="340"/>
      <c r="AI527" s="340"/>
      <c r="AN527" s="340"/>
      <c r="AO527" s="340"/>
      <c r="AS527" s="340"/>
      <c r="AX527" s="340"/>
      <c r="BB527" s="340"/>
      <c r="BD527" s="339"/>
    </row>
    <row r="528" spans="7:56" s="338" customFormat="1">
      <c r="G528" s="340"/>
      <c r="L528" s="340"/>
      <c r="P528" s="340"/>
      <c r="U528" s="340"/>
      <c r="V528" s="340"/>
      <c r="Z528" s="340"/>
      <c r="AE528" s="340"/>
      <c r="AI528" s="340"/>
      <c r="AN528" s="340"/>
      <c r="AO528" s="340"/>
      <c r="AS528" s="340"/>
      <c r="AX528" s="340"/>
      <c r="BB528" s="340"/>
      <c r="BD528" s="339"/>
    </row>
    <row r="529" spans="7:56" s="338" customFormat="1">
      <c r="G529" s="340"/>
      <c r="L529" s="340"/>
      <c r="P529" s="340"/>
      <c r="U529" s="340"/>
      <c r="V529" s="340"/>
      <c r="Z529" s="340"/>
      <c r="AE529" s="340"/>
      <c r="AI529" s="340"/>
      <c r="AN529" s="340"/>
      <c r="AO529" s="340"/>
      <c r="AS529" s="340"/>
      <c r="AX529" s="340"/>
      <c r="BB529" s="340"/>
      <c r="BD529" s="339"/>
    </row>
    <row r="530" spans="7:56" s="338" customFormat="1">
      <c r="G530" s="340"/>
      <c r="L530" s="340"/>
      <c r="P530" s="340"/>
      <c r="U530" s="340"/>
      <c r="V530" s="340"/>
      <c r="Z530" s="340"/>
      <c r="AE530" s="340"/>
      <c r="AI530" s="340"/>
      <c r="AN530" s="340"/>
      <c r="AO530" s="340"/>
      <c r="AS530" s="340"/>
      <c r="AX530" s="340"/>
      <c r="BB530" s="340"/>
      <c r="BD530" s="339"/>
    </row>
    <row r="531" spans="7:56" s="338" customFormat="1">
      <c r="G531" s="340"/>
      <c r="L531" s="340"/>
      <c r="P531" s="340"/>
      <c r="U531" s="340"/>
      <c r="V531" s="340"/>
      <c r="Z531" s="340"/>
      <c r="AE531" s="340"/>
      <c r="AI531" s="340"/>
      <c r="AN531" s="340"/>
      <c r="AO531" s="340"/>
      <c r="AS531" s="340"/>
      <c r="AX531" s="340"/>
      <c r="BB531" s="340"/>
      <c r="BD531" s="339"/>
    </row>
    <row r="532" spans="7:56" s="338" customFormat="1">
      <c r="G532" s="340"/>
      <c r="L532" s="340"/>
      <c r="P532" s="340"/>
      <c r="U532" s="340"/>
      <c r="V532" s="340"/>
      <c r="Z532" s="340"/>
      <c r="AE532" s="340"/>
      <c r="AI532" s="340"/>
      <c r="AN532" s="340"/>
      <c r="AO532" s="340"/>
      <c r="AS532" s="340"/>
      <c r="AX532" s="340"/>
      <c r="BB532" s="340"/>
      <c r="BD532" s="339"/>
    </row>
    <row r="533" spans="7:56" s="338" customFormat="1">
      <c r="G533" s="340"/>
      <c r="L533" s="340"/>
      <c r="P533" s="340"/>
      <c r="U533" s="340"/>
      <c r="V533" s="340"/>
      <c r="Z533" s="340"/>
      <c r="AE533" s="340"/>
      <c r="AI533" s="340"/>
      <c r="AN533" s="340"/>
      <c r="AO533" s="340"/>
      <c r="AS533" s="340"/>
      <c r="AX533" s="340"/>
      <c r="BB533" s="340"/>
      <c r="BD533" s="339"/>
    </row>
    <row r="534" spans="7:56" s="338" customFormat="1">
      <c r="G534" s="340"/>
      <c r="L534" s="340"/>
      <c r="P534" s="340"/>
      <c r="U534" s="340"/>
      <c r="V534" s="340"/>
      <c r="Z534" s="340"/>
      <c r="AE534" s="340"/>
      <c r="AI534" s="340"/>
      <c r="AN534" s="340"/>
      <c r="AO534" s="340"/>
      <c r="AS534" s="340"/>
      <c r="AX534" s="340"/>
      <c r="BB534" s="340"/>
      <c r="BD534" s="339"/>
    </row>
    <row r="535" spans="7:56" s="338" customFormat="1">
      <c r="G535" s="340"/>
      <c r="L535" s="340"/>
      <c r="P535" s="340"/>
      <c r="U535" s="340"/>
      <c r="V535" s="340"/>
      <c r="Z535" s="340"/>
      <c r="AE535" s="340"/>
      <c r="AI535" s="340"/>
      <c r="AN535" s="340"/>
      <c r="AO535" s="340"/>
      <c r="AS535" s="340"/>
      <c r="AX535" s="340"/>
      <c r="BB535" s="340"/>
      <c r="BD535" s="339"/>
    </row>
    <row r="536" spans="7:56" s="338" customFormat="1">
      <c r="G536" s="340"/>
      <c r="L536" s="340"/>
      <c r="P536" s="340"/>
      <c r="U536" s="340"/>
      <c r="V536" s="340"/>
      <c r="Z536" s="340"/>
      <c r="AE536" s="340"/>
      <c r="AI536" s="340"/>
      <c r="AN536" s="340"/>
      <c r="AO536" s="340"/>
      <c r="AS536" s="340"/>
      <c r="AX536" s="340"/>
      <c r="BB536" s="340"/>
      <c r="BD536" s="339"/>
    </row>
    <row r="537" spans="7:56" s="338" customFormat="1">
      <c r="G537" s="340"/>
      <c r="L537" s="340"/>
      <c r="P537" s="340"/>
      <c r="U537" s="340"/>
      <c r="V537" s="340"/>
      <c r="Z537" s="340"/>
      <c r="AE537" s="340"/>
      <c r="AI537" s="340"/>
      <c r="AN537" s="340"/>
      <c r="AO537" s="340"/>
      <c r="AS537" s="340"/>
      <c r="AX537" s="340"/>
      <c r="BB537" s="340"/>
      <c r="BD537" s="339"/>
    </row>
    <row r="538" spans="7:56" s="338" customFormat="1">
      <c r="G538" s="340"/>
      <c r="L538" s="340"/>
      <c r="P538" s="340"/>
      <c r="U538" s="340"/>
      <c r="V538" s="340"/>
      <c r="Z538" s="340"/>
      <c r="AE538" s="340"/>
      <c r="AI538" s="340"/>
      <c r="AN538" s="340"/>
      <c r="AO538" s="340"/>
      <c r="AS538" s="340"/>
      <c r="AX538" s="340"/>
      <c r="BB538" s="340"/>
      <c r="BD538" s="339"/>
    </row>
    <row r="539" spans="7:56" s="338" customFormat="1">
      <c r="G539" s="340"/>
      <c r="L539" s="340"/>
      <c r="P539" s="340"/>
      <c r="U539" s="340"/>
      <c r="V539" s="340"/>
      <c r="Z539" s="340"/>
      <c r="AE539" s="340"/>
      <c r="AI539" s="340"/>
      <c r="AN539" s="340"/>
      <c r="AO539" s="340"/>
      <c r="AS539" s="340"/>
      <c r="AX539" s="340"/>
      <c r="BB539" s="340"/>
      <c r="BD539" s="339"/>
    </row>
    <row r="540" spans="7:56" s="338" customFormat="1">
      <c r="G540" s="340"/>
      <c r="L540" s="340"/>
      <c r="P540" s="340"/>
      <c r="U540" s="340"/>
      <c r="V540" s="340"/>
      <c r="Z540" s="340"/>
      <c r="AE540" s="340"/>
      <c r="AI540" s="340"/>
      <c r="AN540" s="340"/>
      <c r="AO540" s="340"/>
      <c r="AS540" s="340"/>
      <c r="AX540" s="340"/>
      <c r="BB540" s="340"/>
      <c r="BD540" s="339"/>
    </row>
    <row r="541" spans="7:56" s="338" customFormat="1">
      <c r="G541" s="340"/>
      <c r="L541" s="340"/>
      <c r="P541" s="340"/>
      <c r="U541" s="340"/>
      <c r="V541" s="340"/>
      <c r="Z541" s="340"/>
      <c r="AE541" s="340"/>
      <c r="AI541" s="340"/>
      <c r="AN541" s="340"/>
      <c r="AO541" s="340"/>
      <c r="AS541" s="340"/>
      <c r="AX541" s="340"/>
      <c r="BB541" s="340"/>
      <c r="BD541" s="339"/>
    </row>
    <row r="542" spans="7:56" s="338" customFormat="1">
      <c r="G542" s="340"/>
      <c r="L542" s="340"/>
      <c r="P542" s="340"/>
      <c r="U542" s="340"/>
      <c r="V542" s="340"/>
      <c r="Z542" s="340"/>
      <c r="AE542" s="340"/>
      <c r="AI542" s="340"/>
      <c r="AN542" s="340"/>
      <c r="AO542" s="340"/>
      <c r="AS542" s="340"/>
      <c r="AX542" s="340"/>
      <c r="BB542" s="340"/>
      <c r="BD542" s="339"/>
    </row>
    <row r="543" spans="7:56" s="338" customFormat="1">
      <c r="G543" s="340"/>
      <c r="L543" s="340"/>
      <c r="P543" s="340"/>
      <c r="U543" s="340"/>
      <c r="V543" s="340"/>
      <c r="Z543" s="340"/>
      <c r="AE543" s="340"/>
      <c r="AI543" s="340"/>
      <c r="AN543" s="340"/>
      <c r="AO543" s="340"/>
      <c r="AS543" s="340"/>
      <c r="AX543" s="340"/>
      <c r="BB543" s="340"/>
      <c r="BD543" s="339"/>
    </row>
    <row r="544" spans="7:56" s="338" customFormat="1">
      <c r="G544" s="340"/>
      <c r="L544" s="340"/>
      <c r="P544" s="340"/>
      <c r="U544" s="340"/>
      <c r="V544" s="340"/>
      <c r="Z544" s="340"/>
      <c r="AE544" s="340"/>
      <c r="AI544" s="340"/>
      <c r="AN544" s="340"/>
      <c r="AO544" s="340"/>
      <c r="AS544" s="340"/>
      <c r="AX544" s="340"/>
      <c r="BB544" s="340"/>
      <c r="BD544" s="339"/>
    </row>
    <row r="545" spans="7:56" s="338" customFormat="1">
      <c r="G545" s="340"/>
      <c r="L545" s="340"/>
      <c r="P545" s="340"/>
      <c r="U545" s="340"/>
      <c r="V545" s="340"/>
      <c r="Z545" s="340"/>
      <c r="AE545" s="340"/>
      <c r="AI545" s="340"/>
      <c r="AN545" s="340"/>
      <c r="AO545" s="340"/>
      <c r="AS545" s="340"/>
      <c r="AX545" s="340"/>
      <c r="BB545" s="340"/>
      <c r="BD545" s="339"/>
    </row>
    <row r="546" spans="7:56" s="338" customFormat="1">
      <c r="G546" s="340"/>
      <c r="L546" s="340"/>
      <c r="P546" s="340"/>
      <c r="U546" s="340"/>
      <c r="V546" s="340"/>
      <c r="Z546" s="340"/>
      <c r="AE546" s="340"/>
      <c r="AI546" s="340"/>
      <c r="AN546" s="340"/>
      <c r="AO546" s="340"/>
      <c r="AS546" s="340"/>
      <c r="AX546" s="340"/>
      <c r="BB546" s="340"/>
      <c r="BD546" s="339"/>
    </row>
    <row r="547" spans="7:56" s="338" customFormat="1">
      <c r="G547" s="340"/>
      <c r="L547" s="340"/>
      <c r="P547" s="340"/>
      <c r="U547" s="340"/>
      <c r="V547" s="340"/>
      <c r="Z547" s="340"/>
      <c r="AE547" s="340"/>
      <c r="AI547" s="340"/>
      <c r="AN547" s="340"/>
      <c r="AO547" s="340"/>
      <c r="AS547" s="340"/>
      <c r="AX547" s="340"/>
      <c r="BB547" s="340"/>
      <c r="BD547" s="339"/>
    </row>
    <row r="548" spans="7:56" s="338" customFormat="1">
      <c r="G548" s="340"/>
      <c r="L548" s="340"/>
      <c r="P548" s="340"/>
      <c r="U548" s="340"/>
      <c r="V548" s="340"/>
      <c r="Z548" s="340"/>
      <c r="AE548" s="340"/>
      <c r="AI548" s="340"/>
      <c r="AN548" s="340"/>
      <c r="AO548" s="340"/>
      <c r="AS548" s="340"/>
      <c r="AX548" s="340"/>
      <c r="BB548" s="340"/>
      <c r="BD548" s="339"/>
    </row>
    <row r="549" spans="7:56" s="338" customFormat="1">
      <c r="G549" s="340"/>
      <c r="L549" s="340"/>
      <c r="P549" s="340"/>
      <c r="U549" s="340"/>
      <c r="V549" s="340"/>
      <c r="Z549" s="340"/>
      <c r="AE549" s="340"/>
      <c r="AI549" s="340"/>
      <c r="AN549" s="340"/>
      <c r="AO549" s="340"/>
      <c r="AS549" s="340"/>
      <c r="AX549" s="340"/>
      <c r="BB549" s="340"/>
      <c r="BD549" s="339"/>
    </row>
    <row r="550" spans="7:56" s="338" customFormat="1">
      <c r="G550" s="340"/>
      <c r="L550" s="340"/>
      <c r="P550" s="340"/>
      <c r="U550" s="340"/>
      <c r="V550" s="340"/>
      <c r="Z550" s="340"/>
      <c r="AE550" s="340"/>
      <c r="AI550" s="340"/>
      <c r="AN550" s="340"/>
      <c r="AO550" s="340"/>
      <c r="AS550" s="340"/>
      <c r="AX550" s="340"/>
      <c r="BB550" s="340"/>
      <c r="BD550" s="339"/>
    </row>
    <row r="551" spans="7:56" s="338" customFormat="1">
      <c r="G551" s="340"/>
      <c r="L551" s="340"/>
      <c r="P551" s="340"/>
      <c r="U551" s="340"/>
      <c r="V551" s="340"/>
      <c r="Z551" s="340"/>
      <c r="AE551" s="340"/>
      <c r="AI551" s="340"/>
      <c r="AN551" s="340"/>
      <c r="AO551" s="340"/>
      <c r="AS551" s="340"/>
      <c r="AX551" s="340"/>
      <c r="BB551" s="340"/>
      <c r="BD551" s="339"/>
    </row>
    <row r="552" spans="7:56" s="338" customFormat="1">
      <c r="G552" s="340"/>
      <c r="L552" s="340"/>
      <c r="P552" s="340"/>
      <c r="U552" s="340"/>
      <c r="V552" s="340"/>
      <c r="Z552" s="340"/>
      <c r="AE552" s="340"/>
      <c r="AI552" s="340"/>
      <c r="AN552" s="340"/>
      <c r="AO552" s="340"/>
      <c r="AS552" s="340"/>
      <c r="AX552" s="340"/>
      <c r="BB552" s="340"/>
      <c r="BD552" s="339"/>
    </row>
    <row r="553" spans="7:56" s="338" customFormat="1">
      <c r="G553" s="340"/>
      <c r="L553" s="340"/>
      <c r="P553" s="340"/>
      <c r="U553" s="340"/>
      <c r="V553" s="340"/>
      <c r="Z553" s="340"/>
      <c r="AE553" s="340"/>
      <c r="AI553" s="340"/>
      <c r="AN553" s="340"/>
      <c r="AO553" s="340"/>
      <c r="AS553" s="340"/>
      <c r="AX553" s="340"/>
      <c r="BB553" s="340"/>
      <c r="BD553" s="339"/>
    </row>
    <row r="554" spans="7:56" s="338" customFormat="1">
      <c r="G554" s="340"/>
      <c r="L554" s="340"/>
      <c r="P554" s="340"/>
      <c r="U554" s="340"/>
      <c r="V554" s="340"/>
      <c r="Z554" s="340"/>
      <c r="AE554" s="340"/>
      <c r="AI554" s="340"/>
      <c r="AN554" s="340"/>
      <c r="AO554" s="340"/>
      <c r="AS554" s="340"/>
      <c r="AX554" s="340"/>
      <c r="BB554" s="340"/>
      <c r="BD554" s="339"/>
    </row>
    <row r="555" spans="7:56" s="338" customFormat="1">
      <c r="G555" s="340"/>
      <c r="L555" s="340"/>
      <c r="P555" s="340"/>
      <c r="U555" s="340"/>
      <c r="V555" s="340"/>
      <c r="Z555" s="340"/>
      <c r="AE555" s="340"/>
      <c r="AI555" s="340"/>
      <c r="AN555" s="340"/>
      <c r="AO555" s="340"/>
      <c r="AS555" s="340"/>
      <c r="AX555" s="340"/>
      <c r="BB555" s="340"/>
      <c r="BD555" s="339"/>
    </row>
    <row r="556" spans="7:56" s="338" customFormat="1">
      <c r="G556" s="340"/>
      <c r="L556" s="340"/>
      <c r="P556" s="340"/>
      <c r="U556" s="340"/>
      <c r="V556" s="340"/>
      <c r="Z556" s="340"/>
      <c r="AE556" s="340"/>
      <c r="AI556" s="340"/>
      <c r="AN556" s="340"/>
      <c r="AO556" s="340"/>
      <c r="AS556" s="340"/>
      <c r="AX556" s="340"/>
      <c r="BB556" s="340"/>
      <c r="BD556" s="339"/>
    </row>
    <row r="557" spans="7:56" s="338" customFormat="1">
      <c r="G557" s="340"/>
      <c r="L557" s="340"/>
      <c r="P557" s="340"/>
      <c r="U557" s="340"/>
      <c r="V557" s="340"/>
      <c r="Z557" s="340"/>
      <c r="AE557" s="340"/>
      <c r="AI557" s="340"/>
      <c r="AN557" s="340"/>
      <c r="AO557" s="340"/>
      <c r="AS557" s="340"/>
      <c r="AX557" s="340"/>
      <c r="BB557" s="340"/>
      <c r="BD557" s="339"/>
    </row>
    <row r="558" spans="7:56" s="338" customFormat="1">
      <c r="G558" s="340"/>
      <c r="L558" s="340"/>
      <c r="P558" s="340"/>
      <c r="U558" s="340"/>
      <c r="V558" s="340"/>
      <c r="Z558" s="340"/>
      <c r="AE558" s="340"/>
      <c r="AI558" s="340"/>
      <c r="AN558" s="340"/>
      <c r="AO558" s="340"/>
      <c r="AS558" s="340"/>
      <c r="AX558" s="340"/>
      <c r="BB558" s="340"/>
      <c r="BD558" s="339"/>
    </row>
    <row r="559" spans="7:56" s="338" customFormat="1">
      <c r="G559" s="340"/>
      <c r="L559" s="340"/>
      <c r="P559" s="340"/>
      <c r="U559" s="340"/>
      <c r="V559" s="340"/>
      <c r="Z559" s="340"/>
      <c r="AE559" s="340"/>
      <c r="AI559" s="340"/>
      <c r="AN559" s="340"/>
      <c r="AO559" s="340"/>
      <c r="AS559" s="340"/>
      <c r="AX559" s="340"/>
      <c r="BB559" s="340"/>
      <c r="BD559" s="339"/>
    </row>
    <row r="560" spans="7:56" s="338" customFormat="1">
      <c r="G560" s="340"/>
      <c r="L560" s="340"/>
      <c r="P560" s="340"/>
      <c r="U560" s="340"/>
      <c r="V560" s="340"/>
      <c r="Z560" s="340"/>
      <c r="AE560" s="340"/>
      <c r="AI560" s="340"/>
      <c r="AN560" s="340"/>
      <c r="AO560" s="340"/>
      <c r="AS560" s="340"/>
      <c r="AX560" s="340"/>
      <c r="BB560" s="340"/>
      <c r="BD560" s="339"/>
    </row>
    <row r="561" spans="7:56" s="338" customFormat="1">
      <c r="G561" s="340"/>
      <c r="L561" s="340"/>
      <c r="P561" s="340"/>
      <c r="U561" s="340"/>
      <c r="V561" s="340"/>
      <c r="Z561" s="340"/>
      <c r="AE561" s="340"/>
      <c r="AI561" s="340"/>
      <c r="AN561" s="340"/>
      <c r="AO561" s="340"/>
      <c r="AS561" s="340"/>
      <c r="AX561" s="340"/>
      <c r="BB561" s="340"/>
      <c r="BD561" s="339"/>
    </row>
    <row r="562" spans="7:56" s="338" customFormat="1">
      <c r="G562" s="340"/>
      <c r="L562" s="340"/>
      <c r="P562" s="340"/>
      <c r="U562" s="340"/>
      <c r="V562" s="340"/>
      <c r="Z562" s="340"/>
      <c r="AE562" s="340"/>
      <c r="AI562" s="340"/>
      <c r="AN562" s="340"/>
      <c r="AO562" s="340"/>
      <c r="AS562" s="340"/>
      <c r="AX562" s="340"/>
      <c r="BB562" s="340"/>
      <c r="BD562" s="339"/>
    </row>
    <row r="563" spans="7:56" s="338" customFormat="1">
      <c r="G563" s="340"/>
      <c r="L563" s="340"/>
      <c r="P563" s="340"/>
      <c r="U563" s="340"/>
      <c r="V563" s="340"/>
      <c r="Z563" s="340"/>
      <c r="AE563" s="340"/>
      <c r="AI563" s="340"/>
      <c r="AN563" s="340"/>
      <c r="AO563" s="340"/>
      <c r="AS563" s="340"/>
      <c r="AX563" s="340"/>
      <c r="BB563" s="340"/>
      <c r="BD563" s="339"/>
    </row>
    <row r="564" spans="7:56" s="338" customFormat="1">
      <c r="G564" s="340"/>
      <c r="L564" s="340"/>
      <c r="P564" s="340"/>
      <c r="U564" s="340"/>
      <c r="V564" s="340"/>
      <c r="Z564" s="340"/>
      <c r="AE564" s="340"/>
      <c r="AI564" s="340"/>
      <c r="AN564" s="340"/>
      <c r="AO564" s="340"/>
      <c r="AS564" s="340"/>
      <c r="AX564" s="340"/>
      <c r="BB564" s="340"/>
      <c r="BD564" s="339"/>
    </row>
    <row r="565" spans="7:56" s="338" customFormat="1">
      <c r="G565" s="340"/>
      <c r="L565" s="340"/>
      <c r="P565" s="340"/>
      <c r="U565" s="340"/>
      <c r="V565" s="340"/>
      <c r="Z565" s="340"/>
      <c r="AE565" s="340"/>
      <c r="AI565" s="340"/>
      <c r="AN565" s="340"/>
      <c r="AO565" s="340"/>
      <c r="AS565" s="340"/>
      <c r="AX565" s="340"/>
      <c r="BB565" s="340"/>
      <c r="BD565" s="339"/>
    </row>
    <row r="566" spans="7:56" s="338" customFormat="1">
      <c r="G566" s="340"/>
      <c r="L566" s="340"/>
      <c r="P566" s="340"/>
      <c r="U566" s="340"/>
      <c r="V566" s="340"/>
      <c r="Z566" s="340"/>
      <c r="AE566" s="340"/>
      <c r="AI566" s="340"/>
      <c r="AN566" s="340"/>
      <c r="AO566" s="340"/>
      <c r="AS566" s="340"/>
      <c r="AX566" s="340"/>
      <c r="BB566" s="340"/>
      <c r="BD566" s="339"/>
    </row>
    <row r="567" spans="7:56" s="338" customFormat="1">
      <c r="G567" s="340"/>
      <c r="L567" s="340"/>
      <c r="P567" s="340"/>
      <c r="U567" s="340"/>
      <c r="V567" s="340"/>
      <c r="Z567" s="340"/>
      <c r="AE567" s="340"/>
      <c r="AI567" s="340"/>
      <c r="AN567" s="340"/>
      <c r="AO567" s="340"/>
      <c r="AS567" s="340"/>
      <c r="AX567" s="340"/>
      <c r="BB567" s="340"/>
      <c r="BD567" s="339"/>
    </row>
    <row r="568" spans="7:56" s="338" customFormat="1">
      <c r="G568" s="340"/>
      <c r="L568" s="340"/>
      <c r="P568" s="340"/>
      <c r="U568" s="340"/>
      <c r="V568" s="340"/>
      <c r="Z568" s="340"/>
      <c r="AE568" s="340"/>
      <c r="AI568" s="340"/>
      <c r="AN568" s="340"/>
      <c r="AO568" s="340"/>
      <c r="AS568" s="340"/>
      <c r="AX568" s="340"/>
      <c r="BB568" s="340"/>
      <c r="BD568" s="339"/>
    </row>
    <row r="569" spans="7:56" s="338" customFormat="1">
      <c r="G569" s="340"/>
      <c r="L569" s="340"/>
      <c r="P569" s="340"/>
      <c r="U569" s="340"/>
      <c r="V569" s="340"/>
      <c r="Z569" s="340"/>
      <c r="AE569" s="340"/>
      <c r="AI569" s="340"/>
      <c r="AN569" s="340"/>
      <c r="AO569" s="340"/>
      <c r="AS569" s="340"/>
      <c r="AX569" s="340"/>
      <c r="BB569" s="340"/>
      <c r="BD569" s="339"/>
    </row>
    <row r="570" spans="7:56" s="338" customFormat="1">
      <c r="G570" s="340"/>
      <c r="L570" s="340"/>
      <c r="P570" s="340"/>
      <c r="U570" s="340"/>
      <c r="V570" s="340"/>
      <c r="Z570" s="340"/>
      <c r="AE570" s="340"/>
      <c r="AI570" s="340"/>
      <c r="AN570" s="340"/>
      <c r="AO570" s="340"/>
      <c r="AS570" s="340"/>
      <c r="AX570" s="340"/>
      <c r="BB570" s="340"/>
      <c r="BD570" s="339"/>
    </row>
    <row r="571" spans="7:56" s="338" customFormat="1">
      <c r="G571" s="340"/>
      <c r="L571" s="340"/>
      <c r="P571" s="340"/>
      <c r="U571" s="340"/>
      <c r="V571" s="340"/>
      <c r="Z571" s="340"/>
      <c r="AE571" s="340"/>
      <c r="AI571" s="340"/>
      <c r="AN571" s="340"/>
      <c r="AO571" s="340"/>
      <c r="AS571" s="340"/>
      <c r="AX571" s="340"/>
      <c r="BB571" s="340"/>
      <c r="BD571" s="339"/>
    </row>
    <row r="572" spans="7:56" s="338" customFormat="1">
      <c r="G572" s="340"/>
      <c r="L572" s="340"/>
      <c r="P572" s="340"/>
      <c r="U572" s="340"/>
      <c r="V572" s="340"/>
      <c r="Z572" s="340"/>
      <c r="AE572" s="340"/>
      <c r="AI572" s="340"/>
      <c r="AN572" s="340"/>
      <c r="AO572" s="340"/>
      <c r="AS572" s="340"/>
      <c r="AX572" s="340"/>
      <c r="BB572" s="340"/>
      <c r="BD572" s="339"/>
    </row>
    <row r="573" spans="7:56" s="338" customFormat="1">
      <c r="G573" s="340"/>
      <c r="L573" s="340"/>
      <c r="P573" s="340"/>
      <c r="U573" s="340"/>
      <c r="V573" s="340"/>
      <c r="Z573" s="340"/>
      <c r="AE573" s="340"/>
      <c r="AI573" s="340"/>
      <c r="AN573" s="340"/>
      <c r="AO573" s="340"/>
      <c r="AS573" s="340"/>
      <c r="AX573" s="340"/>
      <c r="BB573" s="340"/>
      <c r="BD573" s="339"/>
    </row>
    <row r="574" spans="7:56" s="338" customFormat="1">
      <c r="G574" s="340"/>
      <c r="L574" s="340"/>
      <c r="P574" s="340"/>
      <c r="U574" s="340"/>
      <c r="V574" s="340"/>
      <c r="Z574" s="340"/>
      <c r="AE574" s="340"/>
      <c r="AI574" s="340"/>
      <c r="AN574" s="340"/>
      <c r="AO574" s="340"/>
      <c r="AS574" s="340"/>
      <c r="AX574" s="340"/>
      <c r="BB574" s="340"/>
      <c r="BD574" s="339"/>
    </row>
    <row r="575" spans="7:56" s="338" customFormat="1">
      <c r="G575" s="340"/>
      <c r="L575" s="340"/>
      <c r="P575" s="340"/>
      <c r="U575" s="340"/>
      <c r="V575" s="340"/>
      <c r="Z575" s="340"/>
      <c r="AE575" s="340"/>
      <c r="AI575" s="340"/>
      <c r="AN575" s="340"/>
      <c r="AO575" s="340"/>
      <c r="AS575" s="340"/>
      <c r="AX575" s="340"/>
      <c r="BB575" s="340"/>
      <c r="BD575" s="339"/>
    </row>
    <row r="576" spans="7:56" s="338" customFormat="1">
      <c r="G576" s="340"/>
      <c r="L576" s="340"/>
      <c r="P576" s="340"/>
      <c r="U576" s="340"/>
      <c r="V576" s="340"/>
      <c r="Z576" s="340"/>
      <c r="AE576" s="340"/>
      <c r="AI576" s="340"/>
      <c r="AN576" s="340"/>
      <c r="AO576" s="340"/>
      <c r="AS576" s="340"/>
      <c r="AX576" s="340"/>
      <c r="BB576" s="340"/>
      <c r="BD576" s="339"/>
    </row>
    <row r="577" spans="7:56" s="338" customFormat="1">
      <c r="G577" s="340"/>
      <c r="L577" s="340"/>
      <c r="P577" s="340"/>
      <c r="U577" s="340"/>
      <c r="V577" s="340"/>
      <c r="Z577" s="340"/>
      <c r="AE577" s="340"/>
      <c r="AI577" s="340"/>
      <c r="AN577" s="340"/>
      <c r="AO577" s="340"/>
      <c r="AS577" s="340"/>
      <c r="AX577" s="340"/>
      <c r="BB577" s="340"/>
      <c r="BD577" s="339"/>
    </row>
    <row r="578" spans="7:56" s="338" customFormat="1">
      <c r="G578" s="340"/>
      <c r="L578" s="340"/>
      <c r="P578" s="340"/>
      <c r="U578" s="340"/>
      <c r="V578" s="340"/>
      <c r="Z578" s="340"/>
      <c r="AE578" s="340"/>
      <c r="AI578" s="340"/>
      <c r="AN578" s="340"/>
      <c r="AO578" s="340"/>
      <c r="AS578" s="340"/>
      <c r="AX578" s="340"/>
      <c r="BB578" s="340"/>
      <c r="BD578" s="339"/>
    </row>
    <row r="579" spans="7:56" s="338" customFormat="1">
      <c r="G579" s="340"/>
      <c r="L579" s="340"/>
      <c r="P579" s="340"/>
      <c r="U579" s="340"/>
      <c r="V579" s="340"/>
      <c r="Z579" s="340"/>
      <c r="AE579" s="340"/>
      <c r="AI579" s="340"/>
      <c r="AN579" s="340"/>
      <c r="AO579" s="340"/>
      <c r="AS579" s="340"/>
      <c r="AX579" s="340"/>
      <c r="BB579" s="340"/>
      <c r="BD579" s="339"/>
    </row>
    <row r="580" spans="7:56" s="338" customFormat="1">
      <c r="G580" s="340"/>
      <c r="L580" s="340"/>
      <c r="P580" s="340"/>
      <c r="U580" s="340"/>
      <c r="V580" s="340"/>
      <c r="Z580" s="340"/>
      <c r="AE580" s="340"/>
      <c r="AI580" s="340"/>
      <c r="AN580" s="340"/>
      <c r="AO580" s="340"/>
      <c r="AS580" s="340"/>
      <c r="AX580" s="340"/>
      <c r="BB580" s="340"/>
      <c r="BD580" s="339"/>
    </row>
    <row r="581" spans="7:56" s="338" customFormat="1">
      <c r="G581" s="340"/>
      <c r="L581" s="340"/>
      <c r="P581" s="340"/>
      <c r="U581" s="340"/>
      <c r="V581" s="340"/>
      <c r="Z581" s="340"/>
      <c r="AE581" s="340"/>
      <c r="AI581" s="340"/>
      <c r="AN581" s="340"/>
      <c r="AO581" s="340"/>
      <c r="AS581" s="340"/>
      <c r="AX581" s="340"/>
      <c r="BB581" s="340"/>
      <c r="BD581" s="339"/>
    </row>
    <row r="582" spans="7:56" s="338" customFormat="1">
      <c r="G582" s="340"/>
      <c r="L582" s="340"/>
      <c r="P582" s="340"/>
      <c r="U582" s="340"/>
      <c r="V582" s="340"/>
      <c r="Z582" s="340"/>
      <c r="AE582" s="340"/>
      <c r="AI582" s="340"/>
      <c r="AN582" s="340"/>
      <c r="AO582" s="340"/>
      <c r="AS582" s="340"/>
      <c r="AX582" s="340"/>
      <c r="BB582" s="340"/>
      <c r="BD582" s="339"/>
    </row>
    <row r="583" spans="7:56" s="338" customFormat="1">
      <c r="G583" s="340"/>
      <c r="L583" s="340"/>
      <c r="P583" s="340"/>
      <c r="U583" s="340"/>
      <c r="V583" s="340"/>
      <c r="Z583" s="340"/>
      <c r="AE583" s="340"/>
      <c r="AI583" s="340"/>
      <c r="AN583" s="340"/>
      <c r="AO583" s="340"/>
      <c r="AS583" s="340"/>
      <c r="AX583" s="340"/>
      <c r="BB583" s="340"/>
      <c r="BD583" s="339"/>
    </row>
    <row r="584" spans="7:56" s="338" customFormat="1">
      <c r="G584" s="340"/>
      <c r="L584" s="340"/>
      <c r="P584" s="340"/>
      <c r="U584" s="340"/>
      <c r="V584" s="340"/>
      <c r="Z584" s="340"/>
      <c r="AE584" s="340"/>
      <c r="AI584" s="340"/>
      <c r="AN584" s="340"/>
      <c r="AO584" s="340"/>
      <c r="AS584" s="340"/>
      <c r="AX584" s="340"/>
      <c r="BB584" s="340"/>
      <c r="BD584" s="339"/>
    </row>
    <row r="585" spans="7:56" s="338" customFormat="1">
      <c r="G585" s="340"/>
      <c r="L585" s="340"/>
      <c r="P585" s="340"/>
      <c r="U585" s="340"/>
      <c r="V585" s="340"/>
      <c r="Z585" s="340"/>
      <c r="AE585" s="340"/>
      <c r="AI585" s="340"/>
      <c r="AN585" s="340"/>
      <c r="AO585" s="340"/>
      <c r="AS585" s="340"/>
      <c r="AX585" s="340"/>
      <c r="BB585" s="340"/>
      <c r="BD585" s="339"/>
    </row>
    <row r="586" spans="7:56" s="338" customFormat="1">
      <c r="G586" s="340"/>
      <c r="L586" s="340"/>
      <c r="P586" s="340"/>
      <c r="U586" s="340"/>
      <c r="V586" s="340"/>
      <c r="Z586" s="340"/>
      <c r="AE586" s="340"/>
      <c r="AI586" s="340"/>
      <c r="AN586" s="340"/>
      <c r="AO586" s="340"/>
      <c r="AS586" s="340"/>
      <c r="AX586" s="340"/>
      <c r="BB586" s="340"/>
      <c r="BD586" s="339"/>
    </row>
    <row r="587" spans="7:56" s="338" customFormat="1">
      <c r="G587" s="340"/>
      <c r="L587" s="340"/>
      <c r="P587" s="340"/>
      <c r="U587" s="340"/>
      <c r="V587" s="340"/>
      <c r="Z587" s="340"/>
      <c r="AE587" s="340"/>
      <c r="AI587" s="340"/>
      <c r="AN587" s="340"/>
      <c r="AO587" s="340"/>
      <c r="AS587" s="340"/>
      <c r="AX587" s="340"/>
      <c r="BB587" s="340"/>
      <c r="BD587" s="339"/>
    </row>
    <row r="588" spans="7:56" s="338" customFormat="1">
      <c r="G588" s="340"/>
      <c r="L588" s="340"/>
      <c r="P588" s="340"/>
      <c r="U588" s="340"/>
      <c r="V588" s="340"/>
      <c r="Z588" s="340"/>
      <c r="AE588" s="340"/>
      <c r="AI588" s="340"/>
      <c r="AN588" s="340"/>
      <c r="AO588" s="340"/>
      <c r="AS588" s="340"/>
      <c r="AX588" s="340"/>
      <c r="BB588" s="340"/>
      <c r="BD588" s="339"/>
    </row>
    <row r="589" spans="7:56" s="338" customFormat="1">
      <c r="G589" s="340"/>
      <c r="L589" s="340"/>
      <c r="P589" s="340"/>
      <c r="U589" s="340"/>
      <c r="V589" s="340"/>
      <c r="Z589" s="340"/>
      <c r="AE589" s="340"/>
      <c r="AI589" s="340"/>
      <c r="AN589" s="340"/>
      <c r="AO589" s="340"/>
      <c r="AS589" s="340"/>
      <c r="AX589" s="340"/>
      <c r="BB589" s="340"/>
      <c r="BD589" s="339"/>
    </row>
    <row r="590" spans="7:56" s="338" customFormat="1">
      <c r="G590" s="340"/>
      <c r="L590" s="340"/>
      <c r="P590" s="340"/>
      <c r="U590" s="340"/>
      <c r="V590" s="340"/>
      <c r="Z590" s="340"/>
      <c r="AE590" s="340"/>
      <c r="AI590" s="340"/>
      <c r="AN590" s="340"/>
      <c r="AO590" s="340"/>
      <c r="AS590" s="340"/>
      <c r="AX590" s="340"/>
      <c r="BB590" s="340"/>
      <c r="BD590" s="339"/>
    </row>
    <row r="591" spans="7:56" s="338" customFormat="1">
      <c r="G591" s="340"/>
      <c r="L591" s="340"/>
      <c r="P591" s="340"/>
      <c r="U591" s="340"/>
      <c r="V591" s="340"/>
      <c r="Z591" s="340"/>
      <c r="AE591" s="340"/>
      <c r="AI591" s="340"/>
      <c r="AN591" s="340"/>
      <c r="AO591" s="340"/>
      <c r="AS591" s="340"/>
      <c r="AX591" s="340"/>
      <c r="BB591" s="340"/>
      <c r="BD591" s="339"/>
    </row>
    <row r="592" spans="7:56" s="338" customFormat="1">
      <c r="G592" s="340"/>
      <c r="L592" s="340"/>
      <c r="P592" s="340"/>
      <c r="U592" s="340"/>
      <c r="V592" s="340"/>
      <c r="Z592" s="340"/>
      <c r="AE592" s="340"/>
      <c r="AI592" s="340"/>
      <c r="AN592" s="340"/>
      <c r="AO592" s="340"/>
      <c r="AS592" s="340"/>
      <c r="AX592" s="340"/>
      <c r="BB592" s="340"/>
      <c r="BD592" s="339"/>
    </row>
    <row r="593" spans="7:56" s="338" customFormat="1">
      <c r="G593" s="340"/>
      <c r="L593" s="340"/>
      <c r="P593" s="340"/>
      <c r="U593" s="340"/>
      <c r="V593" s="340"/>
      <c r="Z593" s="340"/>
      <c r="AE593" s="340"/>
      <c r="AI593" s="340"/>
      <c r="AN593" s="340"/>
      <c r="AO593" s="340"/>
      <c r="AS593" s="340"/>
      <c r="AX593" s="340"/>
      <c r="BB593" s="340"/>
      <c r="BD593" s="339"/>
    </row>
    <row r="594" spans="7:56" s="338" customFormat="1">
      <c r="G594" s="340"/>
      <c r="L594" s="340"/>
      <c r="P594" s="340"/>
      <c r="U594" s="340"/>
      <c r="V594" s="340"/>
      <c r="Z594" s="340"/>
      <c r="AE594" s="340"/>
      <c r="AI594" s="340"/>
      <c r="AN594" s="340"/>
      <c r="AO594" s="340"/>
      <c r="AS594" s="340"/>
      <c r="AX594" s="340"/>
      <c r="BB594" s="340"/>
      <c r="BD594" s="339"/>
    </row>
    <row r="595" spans="7:56" s="338" customFormat="1">
      <c r="G595" s="340"/>
      <c r="L595" s="340"/>
      <c r="P595" s="340"/>
      <c r="U595" s="340"/>
      <c r="V595" s="340"/>
      <c r="Z595" s="340"/>
      <c r="AE595" s="340"/>
      <c r="AI595" s="340"/>
      <c r="AN595" s="340"/>
      <c r="AO595" s="340"/>
      <c r="AS595" s="340"/>
      <c r="AX595" s="340"/>
      <c r="BB595" s="340"/>
      <c r="BD595" s="339"/>
    </row>
    <row r="596" spans="7:56" s="338" customFormat="1">
      <c r="G596" s="340"/>
      <c r="L596" s="340"/>
      <c r="P596" s="340"/>
      <c r="U596" s="340"/>
      <c r="V596" s="340"/>
      <c r="Z596" s="340"/>
      <c r="AE596" s="340"/>
      <c r="AI596" s="340"/>
      <c r="AN596" s="340"/>
      <c r="AO596" s="340"/>
      <c r="AS596" s="340"/>
      <c r="AX596" s="340"/>
      <c r="BB596" s="340"/>
      <c r="BD596" s="339"/>
    </row>
    <row r="597" spans="7:56" s="338" customFormat="1">
      <c r="G597" s="340"/>
      <c r="L597" s="340"/>
      <c r="P597" s="340"/>
      <c r="U597" s="340"/>
      <c r="V597" s="340"/>
      <c r="Z597" s="340"/>
      <c r="AE597" s="340"/>
      <c r="AI597" s="340"/>
      <c r="AN597" s="340"/>
      <c r="AO597" s="340"/>
      <c r="AS597" s="340"/>
      <c r="AX597" s="340"/>
      <c r="BB597" s="340"/>
      <c r="BD597" s="339"/>
    </row>
    <row r="598" spans="7:56" s="338" customFormat="1">
      <c r="G598" s="340"/>
      <c r="L598" s="340"/>
      <c r="P598" s="340"/>
      <c r="U598" s="340"/>
      <c r="V598" s="340"/>
      <c r="Z598" s="340"/>
      <c r="AE598" s="340"/>
      <c r="AI598" s="340"/>
      <c r="AN598" s="340"/>
      <c r="AO598" s="340"/>
      <c r="AS598" s="340"/>
      <c r="AX598" s="340"/>
      <c r="BB598" s="340"/>
      <c r="BD598" s="339"/>
    </row>
    <row r="599" spans="7:56" s="338" customFormat="1">
      <c r="G599" s="340"/>
      <c r="L599" s="340"/>
      <c r="P599" s="340"/>
      <c r="U599" s="340"/>
      <c r="V599" s="340"/>
      <c r="Z599" s="340"/>
      <c r="AE599" s="340"/>
      <c r="AI599" s="340"/>
      <c r="AN599" s="340"/>
      <c r="AO599" s="340"/>
      <c r="AS599" s="340"/>
      <c r="AX599" s="340"/>
      <c r="BB599" s="340"/>
      <c r="BD599" s="339"/>
    </row>
    <row r="600" spans="7:56" s="338" customFormat="1">
      <c r="G600" s="340"/>
      <c r="L600" s="340"/>
      <c r="P600" s="340"/>
      <c r="U600" s="340"/>
      <c r="V600" s="340"/>
      <c r="Z600" s="340"/>
      <c r="AE600" s="340"/>
      <c r="AI600" s="340"/>
      <c r="AN600" s="340"/>
      <c r="AO600" s="340"/>
      <c r="AS600" s="340"/>
      <c r="AX600" s="340"/>
      <c r="BB600" s="340"/>
      <c r="BD600" s="339"/>
    </row>
    <row r="601" spans="7:56" s="338" customFormat="1">
      <c r="G601" s="340"/>
      <c r="L601" s="340"/>
      <c r="P601" s="340"/>
      <c r="U601" s="340"/>
      <c r="V601" s="340"/>
      <c r="Z601" s="340"/>
      <c r="AE601" s="340"/>
      <c r="AI601" s="340"/>
      <c r="AN601" s="340"/>
      <c r="AO601" s="340"/>
      <c r="AS601" s="340"/>
      <c r="AX601" s="340"/>
      <c r="BB601" s="340"/>
      <c r="BD601" s="339"/>
    </row>
    <row r="602" spans="7:56" s="338" customFormat="1">
      <c r="G602" s="340"/>
      <c r="L602" s="340"/>
      <c r="P602" s="340"/>
      <c r="U602" s="340"/>
      <c r="V602" s="340"/>
      <c r="Z602" s="340"/>
      <c r="AE602" s="340"/>
      <c r="AI602" s="340"/>
      <c r="AN602" s="340"/>
      <c r="AO602" s="340"/>
      <c r="AS602" s="340"/>
      <c r="AX602" s="340"/>
      <c r="BB602" s="340"/>
      <c r="BD602" s="339"/>
    </row>
    <row r="603" spans="7:56" s="338" customFormat="1">
      <c r="G603" s="340"/>
      <c r="L603" s="340"/>
      <c r="P603" s="340"/>
      <c r="U603" s="340"/>
      <c r="V603" s="340"/>
      <c r="Z603" s="340"/>
      <c r="AE603" s="340"/>
      <c r="AI603" s="340"/>
      <c r="AN603" s="340"/>
      <c r="AO603" s="340"/>
      <c r="AS603" s="340"/>
      <c r="AX603" s="340"/>
      <c r="BB603" s="340"/>
      <c r="BD603" s="339"/>
    </row>
    <row r="604" spans="7:56" s="338" customFormat="1">
      <c r="G604" s="340"/>
      <c r="L604" s="340"/>
      <c r="P604" s="340"/>
      <c r="U604" s="340"/>
      <c r="V604" s="340"/>
      <c r="Z604" s="340"/>
      <c r="AE604" s="340"/>
      <c r="AI604" s="340"/>
      <c r="AN604" s="340"/>
      <c r="AO604" s="340"/>
      <c r="AS604" s="340"/>
      <c r="AX604" s="340"/>
      <c r="BB604" s="340"/>
      <c r="BD604" s="339"/>
    </row>
    <row r="605" spans="7:56" s="338" customFormat="1">
      <c r="G605" s="340"/>
      <c r="L605" s="340"/>
      <c r="P605" s="340"/>
      <c r="U605" s="340"/>
      <c r="V605" s="340"/>
      <c r="Z605" s="340"/>
      <c r="AE605" s="340"/>
      <c r="AI605" s="340"/>
      <c r="AN605" s="340"/>
      <c r="AO605" s="340"/>
      <c r="AS605" s="340"/>
      <c r="AX605" s="340"/>
      <c r="BB605" s="340"/>
      <c r="BD605" s="339"/>
    </row>
    <row r="606" spans="7:56" s="338" customFormat="1">
      <c r="G606" s="340"/>
      <c r="L606" s="340"/>
      <c r="P606" s="340"/>
      <c r="U606" s="340"/>
      <c r="V606" s="340"/>
      <c r="Z606" s="340"/>
      <c r="AE606" s="340"/>
      <c r="AI606" s="340"/>
      <c r="AN606" s="340"/>
      <c r="AO606" s="340"/>
      <c r="AS606" s="340"/>
      <c r="AX606" s="340"/>
      <c r="BB606" s="340"/>
      <c r="BD606" s="339"/>
    </row>
    <row r="607" spans="7:56" s="338" customFormat="1">
      <c r="G607" s="340"/>
      <c r="L607" s="340"/>
      <c r="P607" s="340"/>
      <c r="U607" s="340"/>
      <c r="V607" s="340"/>
      <c r="Z607" s="340"/>
      <c r="AE607" s="340"/>
      <c r="AI607" s="340"/>
      <c r="AN607" s="340"/>
      <c r="AO607" s="340"/>
      <c r="AS607" s="340"/>
      <c r="AX607" s="340"/>
      <c r="BB607" s="340"/>
      <c r="BD607" s="339"/>
    </row>
    <row r="608" spans="7:56" s="338" customFormat="1">
      <c r="G608" s="340"/>
      <c r="L608" s="340"/>
      <c r="P608" s="340"/>
      <c r="U608" s="340"/>
      <c r="V608" s="340"/>
      <c r="Z608" s="340"/>
      <c r="AE608" s="340"/>
      <c r="AI608" s="340"/>
      <c r="AN608" s="340"/>
      <c r="AO608" s="340"/>
      <c r="AS608" s="340"/>
      <c r="AX608" s="340"/>
      <c r="BB608" s="340"/>
      <c r="BD608" s="339"/>
    </row>
    <row r="609" spans="7:56" s="338" customFormat="1">
      <c r="G609" s="340"/>
      <c r="L609" s="340"/>
      <c r="P609" s="340"/>
      <c r="U609" s="340"/>
      <c r="V609" s="340"/>
      <c r="Z609" s="340"/>
      <c r="AE609" s="340"/>
      <c r="AI609" s="340"/>
      <c r="AN609" s="340"/>
      <c r="AO609" s="340"/>
      <c r="AS609" s="340"/>
      <c r="AX609" s="340"/>
      <c r="BB609" s="340"/>
      <c r="BD609" s="339"/>
    </row>
    <row r="610" spans="7:56" s="338" customFormat="1">
      <c r="G610" s="340"/>
      <c r="L610" s="340"/>
      <c r="P610" s="340"/>
      <c r="U610" s="340"/>
      <c r="V610" s="340"/>
      <c r="Z610" s="340"/>
      <c r="AE610" s="340"/>
      <c r="AI610" s="340"/>
      <c r="AN610" s="340"/>
      <c r="AO610" s="340"/>
      <c r="AS610" s="340"/>
      <c r="AX610" s="340"/>
      <c r="BB610" s="340"/>
      <c r="BD610" s="339"/>
    </row>
    <row r="611" spans="7:56" s="338" customFormat="1">
      <c r="G611" s="340"/>
      <c r="L611" s="340"/>
      <c r="P611" s="340"/>
      <c r="U611" s="340"/>
      <c r="V611" s="340"/>
      <c r="Z611" s="340"/>
      <c r="AE611" s="340"/>
      <c r="AI611" s="340"/>
      <c r="AN611" s="340"/>
      <c r="AO611" s="340"/>
      <c r="AS611" s="340"/>
      <c r="AX611" s="340"/>
      <c r="BB611" s="340"/>
      <c r="BD611" s="339"/>
    </row>
    <row r="612" spans="7:56" s="338" customFormat="1">
      <c r="G612" s="340"/>
      <c r="L612" s="340"/>
      <c r="P612" s="340"/>
      <c r="U612" s="340"/>
      <c r="V612" s="340"/>
      <c r="Z612" s="340"/>
      <c r="AE612" s="340"/>
      <c r="AI612" s="340"/>
      <c r="AN612" s="340"/>
      <c r="AO612" s="340"/>
      <c r="AS612" s="340"/>
      <c r="AX612" s="340"/>
      <c r="BB612" s="340"/>
      <c r="BD612" s="339"/>
    </row>
    <row r="613" spans="7:56" s="338" customFormat="1">
      <c r="G613" s="340"/>
      <c r="L613" s="340"/>
      <c r="P613" s="340"/>
      <c r="U613" s="340"/>
      <c r="V613" s="340"/>
      <c r="Z613" s="340"/>
      <c r="AE613" s="340"/>
      <c r="AI613" s="340"/>
      <c r="AN613" s="340"/>
      <c r="AO613" s="340"/>
      <c r="AS613" s="340"/>
      <c r="AX613" s="340"/>
      <c r="BB613" s="340"/>
      <c r="BD613" s="339"/>
    </row>
    <row r="614" spans="7:56" s="338" customFormat="1">
      <c r="G614" s="340"/>
      <c r="L614" s="340"/>
      <c r="P614" s="340"/>
      <c r="U614" s="340"/>
      <c r="V614" s="340"/>
      <c r="Z614" s="340"/>
      <c r="AE614" s="340"/>
      <c r="AI614" s="340"/>
      <c r="AN614" s="340"/>
      <c r="AO614" s="340"/>
      <c r="AS614" s="340"/>
      <c r="AX614" s="340"/>
      <c r="BB614" s="340"/>
      <c r="BD614" s="339"/>
    </row>
    <row r="615" spans="7:56" s="338" customFormat="1">
      <c r="G615" s="340"/>
      <c r="L615" s="340"/>
      <c r="P615" s="340"/>
      <c r="U615" s="340"/>
      <c r="V615" s="340"/>
      <c r="Z615" s="340"/>
      <c r="AE615" s="340"/>
      <c r="AI615" s="340"/>
      <c r="AN615" s="340"/>
      <c r="AO615" s="340"/>
      <c r="AS615" s="340"/>
      <c r="AX615" s="340"/>
      <c r="BB615" s="340"/>
      <c r="BD615" s="339"/>
    </row>
    <row r="616" spans="7:56" s="338" customFormat="1">
      <c r="G616" s="340"/>
      <c r="L616" s="340"/>
      <c r="P616" s="340"/>
      <c r="U616" s="340"/>
      <c r="V616" s="340"/>
      <c r="Z616" s="340"/>
      <c r="AE616" s="340"/>
      <c r="AI616" s="340"/>
      <c r="AN616" s="340"/>
      <c r="AO616" s="340"/>
      <c r="AS616" s="340"/>
      <c r="AX616" s="340"/>
      <c r="BB616" s="340"/>
      <c r="BD616" s="339"/>
    </row>
    <row r="617" spans="7:56" s="338" customFormat="1">
      <c r="G617" s="340"/>
      <c r="L617" s="340"/>
      <c r="P617" s="340"/>
      <c r="U617" s="340"/>
      <c r="V617" s="340"/>
      <c r="Z617" s="340"/>
      <c r="AE617" s="340"/>
      <c r="AI617" s="340"/>
      <c r="AN617" s="340"/>
      <c r="AO617" s="340"/>
      <c r="AS617" s="340"/>
      <c r="AX617" s="340"/>
      <c r="BB617" s="340"/>
      <c r="BD617" s="339"/>
    </row>
    <row r="618" spans="7:56" s="338" customFormat="1">
      <c r="G618" s="340"/>
      <c r="L618" s="340"/>
      <c r="P618" s="340"/>
      <c r="U618" s="340"/>
      <c r="V618" s="340"/>
      <c r="Z618" s="340"/>
      <c r="AE618" s="340"/>
      <c r="AI618" s="340"/>
      <c r="AN618" s="340"/>
      <c r="AO618" s="340"/>
      <c r="AS618" s="340"/>
      <c r="AX618" s="340"/>
      <c r="BB618" s="340"/>
      <c r="BD618" s="339"/>
    </row>
    <row r="619" spans="7:56" s="338" customFormat="1">
      <c r="G619" s="340"/>
      <c r="L619" s="340"/>
      <c r="P619" s="340"/>
      <c r="U619" s="340"/>
      <c r="V619" s="340"/>
      <c r="Z619" s="340"/>
      <c r="AE619" s="340"/>
      <c r="AI619" s="340"/>
      <c r="AN619" s="340"/>
      <c r="AO619" s="340"/>
      <c r="AS619" s="340"/>
      <c r="AX619" s="340"/>
      <c r="BB619" s="340"/>
      <c r="BD619" s="339"/>
    </row>
    <row r="620" spans="7:56" s="338" customFormat="1">
      <c r="G620" s="340"/>
      <c r="L620" s="340"/>
      <c r="P620" s="340"/>
      <c r="U620" s="340"/>
      <c r="V620" s="340"/>
      <c r="Z620" s="340"/>
      <c r="AE620" s="340"/>
      <c r="AI620" s="340"/>
      <c r="AN620" s="340"/>
      <c r="AO620" s="340"/>
      <c r="AS620" s="340"/>
      <c r="AX620" s="340"/>
      <c r="BB620" s="340"/>
      <c r="BD620" s="339"/>
    </row>
    <row r="621" spans="7:56" s="338" customFormat="1">
      <c r="G621" s="340"/>
      <c r="L621" s="340"/>
      <c r="P621" s="340"/>
      <c r="U621" s="340"/>
      <c r="V621" s="340"/>
      <c r="Z621" s="340"/>
      <c r="AE621" s="340"/>
      <c r="AI621" s="340"/>
      <c r="AN621" s="340"/>
      <c r="AO621" s="340"/>
      <c r="AS621" s="340"/>
      <c r="AX621" s="340"/>
      <c r="BB621" s="340"/>
      <c r="BD621" s="339"/>
    </row>
    <row r="622" spans="7:56" s="338" customFormat="1">
      <c r="G622" s="340"/>
      <c r="L622" s="340"/>
      <c r="P622" s="340"/>
      <c r="U622" s="340"/>
      <c r="V622" s="340"/>
      <c r="Z622" s="340"/>
      <c r="AE622" s="340"/>
      <c r="AI622" s="340"/>
      <c r="AN622" s="340"/>
      <c r="AO622" s="340"/>
      <c r="AS622" s="340"/>
      <c r="AX622" s="340"/>
      <c r="BB622" s="340"/>
      <c r="BD622" s="339"/>
    </row>
    <row r="623" spans="7:56" s="338" customFormat="1">
      <c r="G623" s="340"/>
      <c r="L623" s="340"/>
      <c r="P623" s="340"/>
      <c r="U623" s="340"/>
      <c r="V623" s="340"/>
      <c r="Z623" s="340"/>
      <c r="AE623" s="340"/>
      <c r="AI623" s="340"/>
      <c r="AN623" s="340"/>
      <c r="AO623" s="340"/>
      <c r="AS623" s="340"/>
      <c r="AX623" s="340"/>
      <c r="BB623" s="340"/>
      <c r="BD623" s="339"/>
    </row>
    <row r="624" spans="7:56" s="338" customFormat="1">
      <c r="G624" s="340"/>
      <c r="L624" s="340"/>
      <c r="P624" s="340"/>
      <c r="U624" s="340"/>
      <c r="V624" s="340"/>
      <c r="Z624" s="340"/>
      <c r="AE624" s="340"/>
      <c r="AI624" s="340"/>
      <c r="AN624" s="340"/>
      <c r="AO624" s="340"/>
      <c r="AS624" s="340"/>
      <c r="AX624" s="340"/>
      <c r="BB624" s="340"/>
      <c r="BD624" s="339"/>
    </row>
    <row r="625" spans="7:56" s="338" customFormat="1">
      <c r="G625" s="340"/>
      <c r="L625" s="340"/>
      <c r="P625" s="340"/>
      <c r="U625" s="340"/>
      <c r="V625" s="340"/>
      <c r="Z625" s="340"/>
      <c r="AE625" s="340"/>
      <c r="AI625" s="340"/>
      <c r="AN625" s="340"/>
      <c r="AO625" s="340"/>
      <c r="AS625" s="340"/>
      <c r="AX625" s="340"/>
      <c r="BB625" s="340"/>
      <c r="BD625" s="339"/>
    </row>
    <row r="626" spans="7:56" s="338" customFormat="1">
      <c r="G626" s="340"/>
      <c r="L626" s="340"/>
      <c r="P626" s="340"/>
      <c r="U626" s="340"/>
      <c r="V626" s="340"/>
      <c r="Z626" s="340"/>
      <c r="AE626" s="340"/>
      <c r="AI626" s="340"/>
      <c r="AN626" s="340"/>
      <c r="AO626" s="340"/>
      <c r="AS626" s="340"/>
      <c r="AX626" s="340"/>
      <c r="BB626" s="340"/>
      <c r="BD626" s="339"/>
    </row>
    <row r="627" spans="7:56" s="338" customFormat="1">
      <c r="G627" s="340"/>
      <c r="L627" s="340"/>
      <c r="P627" s="340"/>
      <c r="U627" s="340"/>
      <c r="V627" s="340"/>
      <c r="Z627" s="340"/>
      <c r="AE627" s="340"/>
      <c r="AI627" s="340"/>
      <c r="AN627" s="340"/>
      <c r="AO627" s="340"/>
      <c r="AS627" s="340"/>
      <c r="AX627" s="340"/>
      <c r="BB627" s="340"/>
      <c r="BD627" s="339"/>
    </row>
    <row r="628" spans="7:56" s="338" customFormat="1">
      <c r="G628" s="340"/>
      <c r="L628" s="340"/>
      <c r="P628" s="340"/>
      <c r="U628" s="340"/>
      <c r="V628" s="340"/>
      <c r="Z628" s="340"/>
      <c r="AE628" s="340"/>
      <c r="AI628" s="340"/>
      <c r="AN628" s="340"/>
      <c r="AO628" s="340"/>
      <c r="AS628" s="340"/>
      <c r="AX628" s="340"/>
      <c r="BB628" s="340"/>
      <c r="BD628" s="339"/>
    </row>
    <row r="629" spans="7:56" s="338" customFormat="1">
      <c r="G629" s="340"/>
      <c r="L629" s="340"/>
      <c r="P629" s="340"/>
      <c r="U629" s="340"/>
      <c r="V629" s="340"/>
      <c r="Z629" s="340"/>
      <c r="AE629" s="340"/>
      <c r="AI629" s="340"/>
      <c r="AN629" s="340"/>
      <c r="AO629" s="340"/>
      <c r="AS629" s="340"/>
      <c r="AX629" s="340"/>
      <c r="BB629" s="340"/>
      <c r="BD629" s="339"/>
    </row>
    <row r="630" spans="7:56" s="338" customFormat="1">
      <c r="G630" s="340"/>
      <c r="L630" s="340"/>
      <c r="P630" s="340"/>
      <c r="U630" s="340"/>
      <c r="V630" s="340"/>
      <c r="Z630" s="340"/>
      <c r="AE630" s="340"/>
      <c r="AI630" s="340"/>
      <c r="AN630" s="340"/>
      <c r="AO630" s="340"/>
      <c r="AS630" s="340"/>
      <c r="AX630" s="340"/>
      <c r="BB630" s="340"/>
      <c r="BD630" s="339"/>
    </row>
    <row r="631" spans="7:56" s="338" customFormat="1">
      <c r="G631" s="340"/>
      <c r="L631" s="340"/>
      <c r="P631" s="340"/>
      <c r="U631" s="340"/>
      <c r="V631" s="340"/>
      <c r="Z631" s="340"/>
      <c r="AE631" s="340"/>
      <c r="AI631" s="340"/>
      <c r="AN631" s="340"/>
      <c r="AO631" s="340"/>
      <c r="AS631" s="340"/>
      <c r="AX631" s="340"/>
      <c r="BB631" s="340"/>
      <c r="BD631" s="339"/>
    </row>
    <row r="632" spans="7:56" s="338" customFormat="1">
      <c r="G632" s="340"/>
      <c r="L632" s="340"/>
      <c r="P632" s="340"/>
      <c r="U632" s="340"/>
      <c r="V632" s="340"/>
      <c r="Z632" s="340"/>
      <c r="AE632" s="340"/>
      <c r="AI632" s="340"/>
      <c r="AN632" s="340"/>
      <c r="AO632" s="340"/>
      <c r="AS632" s="340"/>
      <c r="AX632" s="340"/>
      <c r="BB632" s="340"/>
      <c r="BD632" s="339"/>
    </row>
    <row r="633" spans="7:56" s="338" customFormat="1">
      <c r="G633" s="340"/>
      <c r="L633" s="340"/>
      <c r="P633" s="340"/>
      <c r="U633" s="340"/>
      <c r="V633" s="340"/>
      <c r="Z633" s="340"/>
      <c r="AE633" s="340"/>
      <c r="AI633" s="340"/>
      <c r="AN633" s="340"/>
      <c r="AO633" s="340"/>
      <c r="AS633" s="340"/>
      <c r="AX633" s="340"/>
      <c r="BB633" s="340"/>
      <c r="BD633" s="339"/>
    </row>
    <row r="634" spans="7:56" s="338" customFormat="1">
      <c r="G634" s="340"/>
      <c r="L634" s="340"/>
      <c r="P634" s="340"/>
      <c r="U634" s="340"/>
      <c r="V634" s="340"/>
      <c r="Z634" s="340"/>
      <c r="AE634" s="340"/>
      <c r="AI634" s="340"/>
      <c r="AN634" s="340"/>
      <c r="AO634" s="340"/>
      <c r="AS634" s="340"/>
      <c r="AX634" s="340"/>
      <c r="BB634" s="340"/>
      <c r="BD634" s="339"/>
    </row>
    <row r="635" spans="7:56" s="338" customFormat="1">
      <c r="G635" s="340"/>
      <c r="L635" s="340"/>
      <c r="P635" s="340"/>
      <c r="U635" s="340"/>
      <c r="V635" s="340"/>
      <c r="Z635" s="340"/>
      <c r="AE635" s="340"/>
      <c r="AI635" s="340"/>
      <c r="AN635" s="340"/>
      <c r="AO635" s="340"/>
      <c r="AS635" s="340"/>
      <c r="AX635" s="340"/>
      <c r="BB635" s="340"/>
      <c r="BD635" s="339"/>
    </row>
    <row r="636" spans="7:56" s="338" customFormat="1">
      <c r="G636" s="340"/>
      <c r="L636" s="340"/>
      <c r="P636" s="340"/>
      <c r="U636" s="340"/>
      <c r="V636" s="340"/>
      <c r="Z636" s="340"/>
      <c r="AE636" s="340"/>
      <c r="AI636" s="340"/>
      <c r="AN636" s="340"/>
      <c r="AO636" s="340"/>
      <c r="AS636" s="340"/>
      <c r="AX636" s="340"/>
      <c r="BB636" s="340"/>
      <c r="BD636" s="339"/>
    </row>
    <row r="637" spans="7:56" s="338" customFormat="1">
      <c r="G637" s="340"/>
      <c r="L637" s="340"/>
      <c r="P637" s="340"/>
      <c r="U637" s="340"/>
      <c r="V637" s="340"/>
      <c r="Z637" s="340"/>
      <c r="AE637" s="340"/>
      <c r="AI637" s="340"/>
      <c r="AN637" s="340"/>
      <c r="AO637" s="340"/>
      <c r="AS637" s="340"/>
      <c r="AX637" s="340"/>
      <c r="BB637" s="340"/>
      <c r="BD637" s="339"/>
    </row>
    <row r="638" spans="7:56" s="338" customFormat="1">
      <c r="G638" s="340"/>
      <c r="L638" s="340"/>
      <c r="P638" s="340"/>
      <c r="U638" s="340"/>
      <c r="V638" s="340"/>
      <c r="Z638" s="340"/>
      <c r="AE638" s="340"/>
      <c r="AI638" s="340"/>
      <c r="AN638" s="340"/>
      <c r="AO638" s="340"/>
      <c r="AS638" s="340"/>
      <c r="AX638" s="340"/>
      <c r="BB638" s="340"/>
      <c r="BD638" s="339"/>
    </row>
    <row r="639" spans="7:56" s="338" customFormat="1">
      <c r="G639" s="340"/>
      <c r="L639" s="340"/>
      <c r="P639" s="340"/>
      <c r="U639" s="340"/>
      <c r="V639" s="340"/>
      <c r="Z639" s="340"/>
      <c r="AE639" s="340"/>
      <c r="AI639" s="340"/>
      <c r="AN639" s="340"/>
      <c r="AO639" s="340"/>
      <c r="AS639" s="340"/>
      <c r="AX639" s="340"/>
      <c r="BB639" s="340"/>
      <c r="BD639" s="339"/>
    </row>
    <row r="640" spans="7:56" s="338" customFormat="1">
      <c r="G640" s="340"/>
      <c r="L640" s="340"/>
      <c r="P640" s="340"/>
      <c r="U640" s="340"/>
      <c r="V640" s="340"/>
      <c r="Z640" s="340"/>
      <c r="AE640" s="340"/>
      <c r="AI640" s="340"/>
      <c r="AN640" s="340"/>
      <c r="AO640" s="340"/>
      <c r="AS640" s="340"/>
      <c r="AX640" s="340"/>
      <c r="BB640" s="340"/>
      <c r="BD640" s="339"/>
    </row>
    <row r="641" spans="7:56" s="338" customFormat="1">
      <c r="G641" s="340"/>
      <c r="L641" s="340"/>
      <c r="P641" s="340"/>
      <c r="U641" s="340"/>
      <c r="V641" s="340"/>
      <c r="Z641" s="340"/>
      <c r="AE641" s="340"/>
      <c r="AI641" s="340"/>
      <c r="AN641" s="340"/>
      <c r="AO641" s="340"/>
      <c r="AS641" s="340"/>
      <c r="AX641" s="340"/>
      <c r="BB641" s="340"/>
      <c r="BD641" s="339"/>
    </row>
    <row r="642" spans="7:56" s="338" customFormat="1">
      <c r="G642" s="340"/>
      <c r="L642" s="340"/>
      <c r="P642" s="340"/>
      <c r="U642" s="340"/>
      <c r="V642" s="340"/>
      <c r="Z642" s="340"/>
      <c r="AE642" s="340"/>
      <c r="AI642" s="340"/>
      <c r="AN642" s="340"/>
      <c r="AO642" s="340"/>
      <c r="AS642" s="340"/>
      <c r="AX642" s="340"/>
      <c r="BB642" s="340"/>
      <c r="BD642" s="339"/>
    </row>
    <row r="643" spans="7:56" s="338" customFormat="1">
      <c r="G643" s="340"/>
      <c r="L643" s="340"/>
      <c r="P643" s="340"/>
      <c r="U643" s="340"/>
      <c r="V643" s="340"/>
      <c r="Z643" s="340"/>
      <c r="AE643" s="340"/>
      <c r="AI643" s="340"/>
      <c r="AN643" s="340"/>
      <c r="AO643" s="340"/>
      <c r="AS643" s="340"/>
      <c r="AX643" s="340"/>
      <c r="BB643" s="340"/>
      <c r="BD643" s="339"/>
    </row>
    <row r="644" spans="7:56" s="338" customFormat="1">
      <c r="G644" s="340"/>
      <c r="L644" s="340"/>
      <c r="P644" s="340"/>
      <c r="U644" s="340"/>
      <c r="V644" s="340"/>
      <c r="Z644" s="340"/>
      <c r="AE644" s="340"/>
      <c r="AI644" s="340"/>
      <c r="AN644" s="340"/>
      <c r="AO644" s="340"/>
      <c r="AS644" s="340"/>
      <c r="AX644" s="340"/>
      <c r="BB644" s="340"/>
      <c r="BD644" s="339"/>
    </row>
    <row r="645" spans="7:56" s="338" customFormat="1">
      <c r="G645" s="340"/>
      <c r="L645" s="340"/>
      <c r="P645" s="340"/>
      <c r="U645" s="340"/>
      <c r="V645" s="340"/>
      <c r="Z645" s="340"/>
      <c r="AE645" s="340"/>
      <c r="AI645" s="340"/>
      <c r="AN645" s="340"/>
      <c r="AO645" s="340"/>
      <c r="AS645" s="340"/>
      <c r="AX645" s="340"/>
      <c r="BB645" s="340"/>
      <c r="BD645" s="339"/>
    </row>
    <row r="646" spans="7:56" s="338" customFormat="1">
      <c r="G646" s="340"/>
      <c r="L646" s="340"/>
      <c r="P646" s="340"/>
      <c r="U646" s="340"/>
      <c r="V646" s="340"/>
      <c r="Z646" s="340"/>
      <c r="AE646" s="340"/>
      <c r="AI646" s="340"/>
      <c r="AN646" s="340"/>
      <c r="AO646" s="340"/>
      <c r="AS646" s="340"/>
      <c r="AX646" s="340"/>
      <c r="BB646" s="340"/>
      <c r="BD646" s="339"/>
    </row>
    <row r="647" spans="7:56" s="338" customFormat="1">
      <c r="G647" s="340"/>
      <c r="L647" s="340"/>
      <c r="P647" s="340"/>
      <c r="U647" s="340"/>
      <c r="V647" s="340"/>
      <c r="Z647" s="340"/>
      <c r="AE647" s="340"/>
      <c r="AI647" s="340"/>
      <c r="AN647" s="340"/>
      <c r="AO647" s="340"/>
      <c r="AS647" s="340"/>
      <c r="AX647" s="340"/>
      <c r="BB647" s="340"/>
      <c r="BD647" s="339"/>
    </row>
    <row r="648" spans="7:56" s="338" customFormat="1">
      <c r="G648" s="340"/>
      <c r="L648" s="340"/>
      <c r="P648" s="340"/>
      <c r="U648" s="340"/>
      <c r="V648" s="340"/>
      <c r="Z648" s="340"/>
      <c r="AE648" s="340"/>
      <c r="AI648" s="340"/>
      <c r="AN648" s="340"/>
      <c r="AO648" s="340"/>
      <c r="AS648" s="340"/>
      <c r="AX648" s="340"/>
      <c r="BB648" s="340"/>
      <c r="BD648" s="339"/>
    </row>
    <row r="649" spans="7:56" s="338" customFormat="1">
      <c r="G649" s="340"/>
      <c r="L649" s="340"/>
      <c r="P649" s="340"/>
      <c r="U649" s="340"/>
      <c r="V649" s="340"/>
      <c r="Z649" s="340"/>
      <c r="AE649" s="340"/>
      <c r="AI649" s="340"/>
      <c r="AN649" s="340"/>
      <c r="AO649" s="340"/>
      <c r="AS649" s="340"/>
      <c r="AX649" s="340"/>
      <c r="BB649" s="340"/>
      <c r="BD649" s="339"/>
    </row>
    <row r="650" spans="7:56" s="338" customFormat="1">
      <c r="G650" s="340"/>
      <c r="L650" s="340"/>
      <c r="P650" s="340"/>
      <c r="U650" s="340"/>
      <c r="V650" s="340"/>
      <c r="Z650" s="340"/>
      <c r="AE650" s="340"/>
      <c r="AI650" s="340"/>
      <c r="AN650" s="340"/>
      <c r="AO650" s="340"/>
      <c r="AS650" s="340"/>
      <c r="AX650" s="340"/>
      <c r="BB650" s="340"/>
      <c r="BD650" s="339"/>
    </row>
    <row r="651" spans="7:56" s="338" customFormat="1">
      <c r="G651" s="340"/>
      <c r="L651" s="340"/>
      <c r="P651" s="340"/>
      <c r="U651" s="340"/>
      <c r="V651" s="340"/>
      <c r="Z651" s="340"/>
      <c r="AE651" s="340"/>
      <c r="AI651" s="340"/>
      <c r="AN651" s="340"/>
      <c r="AO651" s="340"/>
      <c r="AS651" s="340"/>
      <c r="AX651" s="340"/>
      <c r="BB651" s="340"/>
      <c r="BD651" s="339"/>
    </row>
    <row r="652" spans="7:56" s="338" customFormat="1">
      <c r="G652" s="340"/>
      <c r="L652" s="340"/>
      <c r="P652" s="340"/>
      <c r="U652" s="340"/>
      <c r="V652" s="340"/>
      <c r="Z652" s="340"/>
      <c r="AE652" s="340"/>
      <c r="AI652" s="340"/>
      <c r="AN652" s="340"/>
      <c r="AO652" s="340"/>
      <c r="AS652" s="340"/>
      <c r="AX652" s="340"/>
      <c r="BB652" s="340"/>
      <c r="BD652" s="339"/>
    </row>
    <row r="653" spans="7:56" s="338" customFormat="1">
      <c r="G653" s="340"/>
      <c r="L653" s="340"/>
      <c r="P653" s="340"/>
      <c r="U653" s="340"/>
      <c r="V653" s="340"/>
      <c r="Z653" s="340"/>
      <c r="AE653" s="340"/>
      <c r="AI653" s="340"/>
      <c r="AN653" s="340"/>
      <c r="AO653" s="340"/>
      <c r="AS653" s="340"/>
      <c r="AX653" s="340"/>
      <c r="BB653" s="340"/>
      <c r="BD653" s="339"/>
    </row>
    <row r="654" spans="7:56" s="338" customFormat="1">
      <c r="G654" s="340"/>
      <c r="L654" s="340"/>
      <c r="P654" s="340"/>
      <c r="U654" s="340"/>
      <c r="V654" s="340"/>
      <c r="Z654" s="340"/>
      <c r="AE654" s="340"/>
      <c r="AI654" s="340"/>
      <c r="AN654" s="340"/>
      <c r="AO654" s="340"/>
      <c r="AS654" s="340"/>
      <c r="AX654" s="340"/>
      <c r="BB654" s="340"/>
      <c r="BD654" s="339"/>
    </row>
    <row r="655" spans="7:56" s="338" customFormat="1">
      <c r="G655" s="340"/>
      <c r="L655" s="340"/>
      <c r="P655" s="340"/>
      <c r="U655" s="340"/>
      <c r="V655" s="340"/>
      <c r="Z655" s="340"/>
      <c r="AE655" s="340"/>
      <c r="AI655" s="340"/>
      <c r="AN655" s="340"/>
      <c r="AO655" s="340"/>
      <c r="AS655" s="340"/>
      <c r="AX655" s="340"/>
      <c r="BB655" s="340"/>
      <c r="BD655" s="339"/>
    </row>
    <row r="656" spans="7:56" s="338" customFormat="1">
      <c r="G656" s="340"/>
      <c r="L656" s="340"/>
      <c r="P656" s="340"/>
      <c r="U656" s="340"/>
      <c r="V656" s="340"/>
      <c r="Z656" s="340"/>
      <c r="AE656" s="340"/>
      <c r="AI656" s="340"/>
      <c r="AN656" s="340"/>
      <c r="AO656" s="340"/>
      <c r="AS656" s="340"/>
      <c r="AX656" s="340"/>
      <c r="BB656" s="340"/>
      <c r="BD656" s="339"/>
    </row>
    <row r="657" spans="7:56" s="338" customFormat="1">
      <c r="G657" s="340"/>
      <c r="L657" s="340"/>
      <c r="P657" s="340"/>
      <c r="U657" s="340"/>
      <c r="V657" s="340"/>
      <c r="Z657" s="340"/>
      <c r="AE657" s="340"/>
      <c r="AI657" s="340"/>
      <c r="AN657" s="340"/>
      <c r="AO657" s="340"/>
      <c r="AS657" s="340"/>
      <c r="AX657" s="340"/>
      <c r="BB657" s="340"/>
      <c r="BD657" s="339"/>
    </row>
    <row r="658" spans="7:56" s="338" customFormat="1">
      <c r="G658" s="340"/>
      <c r="L658" s="340"/>
      <c r="P658" s="340"/>
      <c r="U658" s="340"/>
      <c r="V658" s="340"/>
      <c r="Z658" s="340"/>
      <c r="AE658" s="340"/>
      <c r="AI658" s="340"/>
      <c r="AN658" s="340"/>
      <c r="AO658" s="340"/>
      <c r="AS658" s="340"/>
      <c r="AX658" s="340"/>
      <c r="BB658" s="340"/>
      <c r="BD658" s="339"/>
    </row>
    <row r="659" spans="7:56" s="338" customFormat="1">
      <c r="G659" s="340"/>
      <c r="L659" s="340"/>
      <c r="P659" s="340"/>
      <c r="U659" s="340"/>
      <c r="V659" s="340"/>
      <c r="Z659" s="340"/>
      <c r="AE659" s="340"/>
      <c r="AI659" s="340"/>
      <c r="AN659" s="340"/>
      <c r="AO659" s="340"/>
      <c r="AS659" s="340"/>
      <c r="AX659" s="340"/>
      <c r="BB659" s="340"/>
      <c r="BD659" s="339"/>
    </row>
    <row r="660" spans="7:56" s="338" customFormat="1">
      <c r="G660" s="340"/>
      <c r="L660" s="340"/>
      <c r="P660" s="340"/>
      <c r="U660" s="340"/>
      <c r="V660" s="340"/>
      <c r="Z660" s="340"/>
      <c r="AE660" s="340"/>
      <c r="AI660" s="340"/>
      <c r="AN660" s="340"/>
      <c r="AO660" s="340"/>
      <c r="AS660" s="340"/>
      <c r="AX660" s="340"/>
      <c r="BB660" s="340"/>
      <c r="BD660" s="339"/>
    </row>
    <row r="661" spans="7:56" s="338" customFormat="1">
      <c r="G661" s="340"/>
      <c r="L661" s="340"/>
      <c r="P661" s="340"/>
      <c r="U661" s="340"/>
      <c r="V661" s="340"/>
      <c r="Z661" s="340"/>
      <c r="AE661" s="340"/>
      <c r="AI661" s="340"/>
      <c r="AN661" s="340"/>
      <c r="AO661" s="340"/>
      <c r="AS661" s="340"/>
      <c r="AX661" s="340"/>
      <c r="BB661" s="340"/>
      <c r="BD661" s="339"/>
    </row>
    <row r="662" spans="7:56" s="338" customFormat="1">
      <c r="G662" s="340"/>
      <c r="L662" s="340"/>
      <c r="P662" s="340"/>
      <c r="U662" s="340"/>
      <c r="V662" s="340"/>
      <c r="Z662" s="340"/>
      <c r="AE662" s="340"/>
      <c r="AI662" s="340"/>
      <c r="AN662" s="340"/>
      <c r="AO662" s="340"/>
      <c r="AS662" s="340"/>
      <c r="AX662" s="340"/>
      <c r="BB662" s="340"/>
      <c r="BD662" s="339"/>
    </row>
    <row r="663" spans="7:56" s="338" customFormat="1">
      <c r="G663" s="340"/>
      <c r="L663" s="340"/>
      <c r="P663" s="340"/>
      <c r="U663" s="340"/>
      <c r="V663" s="340"/>
      <c r="Z663" s="340"/>
      <c r="AE663" s="340"/>
      <c r="AI663" s="340"/>
      <c r="AN663" s="340"/>
      <c r="AO663" s="340"/>
      <c r="AS663" s="340"/>
      <c r="AX663" s="340"/>
      <c r="BB663" s="340"/>
      <c r="BD663" s="339"/>
    </row>
    <row r="664" spans="7:56" s="338" customFormat="1">
      <c r="G664" s="340"/>
      <c r="L664" s="340"/>
      <c r="P664" s="340"/>
      <c r="U664" s="340"/>
      <c r="V664" s="340"/>
      <c r="Z664" s="340"/>
      <c r="AE664" s="340"/>
      <c r="AI664" s="340"/>
      <c r="AN664" s="340"/>
      <c r="AO664" s="340"/>
      <c r="AS664" s="340"/>
      <c r="AX664" s="340"/>
      <c r="BB664" s="340"/>
      <c r="BD664" s="339"/>
    </row>
    <row r="665" spans="7:56" s="338" customFormat="1">
      <c r="G665" s="340"/>
      <c r="L665" s="340"/>
      <c r="P665" s="340"/>
      <c r="U665" s="340"/>
      <c r="V665" s="340"/>
      <c r="Z665" s="340"/>
      <c r="AE665" s="340"/>
      <c r="AI665" s="340"/>
      <c r="AN665" s="340"/>
      <c r="AO665" s="340"/>
      <c r="AS665" s="340"/>
      <c r="AX665" s="340"/>
      <c r="BB665" s="340"/>
      <c r="BD665" s="339"/>
    </row>
    <row r="666" spans="7:56" s="338" customFormat="1">
      <c r="G666" s="340"/>
      <c r="L666" s="340"/>
      <c r="P666" s="340"/>
      <c r="U666" s="340"/>
      <c r="V666" s="340"/>
      <c r="Z666" s="340"/>
      <c r="AE666" s="340"/>
      <c r="AI666" s="340"/>
      <c r="AN666" s="340"/>
      <c r="AO666" s="340"/>
      <c r="AS666" s="340"/>
      <c r="AX666" s="340"/>
      <c r="BB666" s="340"/>
      <c r="BD666" s="339"/>
    </row>
    <row r="667" spans="7:56" s="338" customFormat="1">
      <c r="G667" s="340"/>
      <c r="L667" s="340"/>
      <c r="P667" s="340"/>
      <c r="U667" s="340"/>
      <c r="V667" s="340"/>
      <c r="Z667" s="340"/>
      <c r="AE667" s="340"/>
      <c r="AI667" s="340"/>
      <c r="AN667" s="340"/>
      <c r="AO667" s="340"/>
      <c r="AS667" s="340"/>
      <c r="AX667" s="340"/>
      <c r="BB667" s="340"/>
      <c r="BD667" s="339"/>
    </row>
    <row r="668" spans="7:56" s="338" customFormat="1">
      <c r="G668" s="340"/>
      <c r="L668" s="340"/>
      <c r="P668" s="340"/>
      <c r="U668" s="340"/>
      <c r="V668" s="340"/>
      <c r="Z668" s="340"/>
      <c r="AE668" s="340"/>
      <c r="AI668" s="340"/>
      <c r="AN668" s="340"/>
      <c r="AO668" s="340"/>
      <c r="AS668" s="340"/>
      <c r="AX668" s="340"/>
      <c r="BB668" s="340"/>
      <c r="BD668" s="339"/>
    </row>
    <row r="669" spans="7:56" s="338" customFormat="1">
      <c r="G669" s="340"/>
      <c r="L669" s="340"/>
      <c r="P669" s="340"/>
      <c r="U669" s="340"/>
      <c r="V669" s="340"/>
      <c r="Z669" s="340"/>
      <c r="AE669" s="340"/>
      <c r="AI669" s="340"/>
      <c r="AN669" s="340"/>
      <c r="AO669" s="340"/>
      <c r="AS669" s="340"/>
      <c r="AX669" s="340"/>
      <c r="BB669" s="340"/>
      <c r="BD669" s="339"/>
    </row>
    <row r="670" spans="7:56" s="338" customFormat="1">
      <c r="G670" s="340"/>
      <c r="L670" s="340"/>
      <c r="P670" s="340"/>
      <c r="U670" s="340"/>
      <c r="V670" s="340"/>
      <c r="Z670" s="340"/>
      <c r="AE670" s="340"/>
      <c r="AI670" s="340"/>
      <c r="AN670" s="340"/>
      <c r="AO670" s="340"/>
      <c r="AS670" s="340"/>
      <c r="AX670" s="340"/>
      <c r="BB670" s="340"/>
      <c r="BD670" s="339"/>
    </row>
    <row r="671" spans="7:56" s="338" customFormat="1">
      <c r="G671" s="340"/>
      <c r="L671" s="340"/>
      <c r="P671" s="340"/>
      <c r="U671" s="340"/>
      <c r="V671" s="340"/>
      <c r="Z671" s="340"/>
      <c r="AE671" s="340"/>
      <c r="AI671" s="340"/>
      <c r="AN671" s="340"/>
      <c r="AO671" s="340"/>
      <c r="AS671" s="340"/>
      <c r="AX671" s="340"/>
      <c r="BB671" s="340"/>
      <c r="BD671" s="339"/>
    </row>
    <row r="672" spans="7:56" s="338" customFormat="1">
      <c r="G672" s="340"/>
      <c r="L672" s="340"/>
      <c r="P672" s="340"/>
      <c r="U672" s="340"/>
      <c r="V672" s="340"/>
      <c r="Z672" s="340"/>
      <c r="AE672" s="340"/>
      <c r="AI672" s="340"/>
      <c r="AN672" s="340"/>
      <c r="AO672" s="340"/>
      <c r="AS672" s="340"/>
      <c r="AX672" s="340"/>
      <c r="BB672" s="340"/>
      <c r="BD672" s="339"/>
    </row>
    <row r="673" spans="7:56" s="338" customFormat="1">
      <c r="G673" s="340"/>
      <c r="L673" s="340"/>
      <c r="P673" s="340"/>
      <c r="U673" s="340"/>
      <c r="V673" s="340"/>
      <c r="Z673" s="340"/>
      <c r="AE673" s="340"/>
      <c r="AI673" s="340"/>
      <c r="AN673" s="340"/>
      <c r="AO673" s="340"/>
      <c r="AS673" s="340"/>
      <c r="AX673" s="340"/>
      <c r="BB673" s="340"/>
      <c r="BD673" s="339"/>
    </row>
    <row r="674" spans="7:56" s="338" customFormat="1">
      <c r="G674" s="340"/>
      <c r="L674" s="340"/>
      <c r="P674" s="340"/>
      <c r="U674" s="340"/>
      <c r="V674" s="340"/>
      <c r="Z674" s="340"/>
      <c r="AE674" s="340"/>
      <c r="AI674" s="340"/>
      <c r="AN674" s="340"/>
      <c r="AO674" s="340"/>
      <c r="AS674" s="340"/>
      <c r="AX674" s="340"/>
      <c r="BB674" s="340"/>
      <c r="BD674" s="339"/>
    </row>
    <row r="675" spans="7:56" s="338" customFormat="1">
      <c r="G675" s="340"/>
      <c r="L675" s="340"/>
      <c r="P675" s="340"/>
      <c r="U675" s="340"/>
      <c r="V675" s="340"/>
      <c r="Z675" s="340"/>
      <c r="AE675" s="340"/>
      <c r="AI675" s="340"/>
      <c r="AN675" s="340"/>
      <c r="AO675" s="340"/>
      <c r="AS675" s="340"/>
      <c r="AX675" s="340"/>
      <c r="BB675" s="340"/>
      <c r="BD675" s="339"/>
    </row>
    <row r="676" spans="7:56" s="338" customFormat="1">
      <c r="G676" s="340"/>
      <c r="L676" s="340"/>
      <c r="P676" s="340"/>
      <c r="U676" s="340"/>
      <c r="V676" s="340"/>
      <c r="Z676" s="340"/>
      <c r="AE676" s="340"/>
      <c r="AI676" s="340"/>
      <c r="AN676" s="340"/>
      <c r="AO676" s="340"/>
      <c r="AS676" s="340"/>
      <c r="AX676" s="340"/>
      <c r="BB676" s="340"/>
      <c r="BD676" s="339"/>
    </row>
    <row r="677" spans="7:56" s="338" customFormat="1">
      <c r="G677" s="340"/>
      <c r="L677" s="340"/>
      <c r="P677" s="340"/>
      <c r="U677" s="340"/>
      <c r="V677" s="340"/>
      <c r="Z677" s="340"/>
      <c r="AE677" s="340"/>
      <c r="AI677" s="340"/>
      <c r="AN677" s="340"/>
      <c r="AO677" s="340"/>
      <c r="AS677" s="340"/>
      <c r="AX677" s="340"/>
      <c r="BB677" s="340"/>
      <c r="BD677" s="339"/>
    </row>
    <row r="678" spans="7:56" s="338" customFormat="1">
      <c r="G678" s="340"/>
      <c r="L678" s="340"/>
      <c r="P678" s="340"/>
      <c r="U678" s="340"/>
      <c r="V678" s="340"/>
      <c r="Z678" s="340"/>
      <c r="AE678" s="340"/>
      <c r="AI678" s="340"/>
      <c r="AN678" s="340"/>
      <c r="AO678" s="340"/>
      <c r="AS678" s="340"/>
      <c r="AX678" s="340"/>
      <c r="BB678" s="340"/>
      <c r="BD678" s="339"/>
    </row>
    <row r="679" spans="7:56" s="338" customFormat="1">
      <c r="G679" s="340"/>
      <c r="L679" s="340"/>
      <c r="P679" s="340"/>
      <c r="U679" s="340"/>
      <c r="V679" s="340"/>
      <c r="Z679" s="340"/>
      <c r="AE679" s="340"/>
      <c r="AI679" s="340"/>
      <c r="AN679" s="340"/>
      <c r="AO679" s="340"/>
      <c r="AS679" s="340"/>
      <c r="AX679" s="340"/>
      <c r="BB679" s="340"/>
      <c r="BD679" s="339"/>
    </row>
    <row r="680" spans="7:56" s="338" customFormat="1">
      <c r="G680" s="340"/>
      <c r="L680" s="340"/>
      <c r="P680" s="340"/>
      <c r="U680" s="340"/>
      <c r="V680" s="340"/>
      <c r="Z680" s="340"/>
      <c r="AE680" s="340"/>
      <c r="AI680" s="340"/>
      <c r="AN680" s="340"/>
      <c r="AO680" s="340"/>
      <c r="AS680" s="340"/>
      <c r="AX680" s="340"/>
      <c r="BB680" s="340"/>
      <c r="BD680" s="339"/>
    </row>
    <row r="681" spans="7:56" s="338" customFormat="1">
      <c r="G681" s="340"/>
      <c r="L681" s="340"/>
      <c r="P681" s="340"/>
      <c r="U681" s="340"/>
      <c r="V681" s="340"/>
      <c r="Z681" s="340"/>
      <c r="AE681" s="340"/>
      <c r="AI681" s="340"/>
      <c r="AN681" s="340"/>
      <c r="AO681" s="340"/>
      <c r="AS681" s="340"/>
      <c r="AX681" s="340"/>
      <c r="BB681" s="340"/>
      <c r="BD681" s="339"/>
    </row>
    <row r="682" spans="7:56" s="338" customFormat="1">
      <c r="G682" s="340"/>
      <c r="L682" s="340"/>
      <c r="P682" s="340"/>
      <c r="U682" s="340"/>
      <c r="V682" s="340"/>
      <c r="Z682" s="340"/>
      <c r="AE682" s="340"/>
      <c r="AI682" s="340"/>
      <c r="AN682" s="340"/>
      <c r="AO682" s="340"/>
      <c r="AS682" s="340"/>
      <c r="AX682" s="340"/>
      <c r="BB682" s="340"/>
      <c r="BD682" s="339"/>
    </row>
    <row r="683" spans="7:56" s="338" customFormat="1">
      <c r="G683" s="340"/>
      <c r="L683" s="340"/>
      <c r="P683" s="340"/>
      <c r="U683" s="340"/>
      <c r="V683" s="340"/>
      <c r="Z683" s="340"/>
      <c r="AE683" s="340"/>
      <c r="AI683" s="340"/>
      <c r="AN683" s="340"/>
      <c r="AO683" s="340"/>
      <c r="AS683" s="340"/>
      <c r="AX683" s="340"/>
      <c r="BB683" s="340"/>
      <c r="BD683" s="339"/>
    </row>
    <row r="684" spans="7:56" s="338" customFormat="1">
      <c r="G684" s="340"/>
      <c r="L684" s="340"/>
      <c r="P684" s="340"/>
      <c r="U684" s="340"/>
      <c r="V684" s="340"/>
      <c r="Z684" s="340"/>
      <c r="AE684" s="340"/>
      <c r="AI684" s="340"/>
      <c r="AN684" s="340"/>
      <c r="AO684" s="340"/>
      <c r="AS684" s="340"/>
      <c r="AX684" s="340"/>
      <c r="BB684" s="340"/>
      <c r="BD684" s="339"/>
    </row>
    <row r="685" spans="7:56" s="338" customFormat="1">
      <c r="G685" s="340"/>
      <c r="L685" s="340"/>
      <c r="P685" s="340"/>
      <c r="U685" s="340"/>
      <c r="V685" s="340"/>
      <c r="Z685" s="340"/>
      <c r="AE685" s="340"/>
      <c r="AI685" s="340"/>
      <c r="AN685" s="340"/>
      <c r="AO685" s="340"/>
      <c r="AS685" s="340"/>
      <c r="AX685" s="340"/>
      <c r="BB685" s="340"/>
      <c r="BD685" s="339"/>
    </row>
    <row r="686" spans="7:56" s="338" customFormat="1">
      <c r="G686" s="340"/>
      <c r="L686" s="340"/>
      <c r="P686" s="340"/>
      <c r="U686" s="340"/>
      <c r="V686" s="340"/>
      <c r="Z686" s="340"/>
      <c r="AE686" s="340"/>
      <c r="AI686" s="340"/>
      <c r="AN686" s="340"/>
      <c r="AO686" s="340"/>
      <c r="AS686" s="340"/>
      <c r="AX686" s="340"/>
      <c r="BB686" s="340"/>
      <c r="BD686" s="339"/>
    </row>
    <row r="687" spans="7:56" s="338" customFormat="1">
      <c r="G687" s="340"/>
      <c r="L687" s="340"/>
      <c r="P687" s="340"/>
      <c r="U687" s="340"/>
      <c r="V687" s="340"/>
      <c r="Z687" s="340"/>
      <c r="AE687" s="340"/>
      <c r="AI687" s="340"/>
      <c r="AN687" s="340"/>
      <c r="AO687" s="340"/>
      <c r="AS687" s="340"/>
      <c r="AX687" s="340"/>
      <c r="BB687" s="340"/>
      <c r="BD687" s="339"/>
    </row>
    <row r="688" spans="7:56" s="338" customFormat="1">
      <c r="G688" s="340"/>
      <c r="L688" s="340"/>
      <c r="P688" s="340"/>
      <c r="U688" s="340"/>
      <c r="V688" s="340"/>
      <c r="Z688" s="340"/>
      <c r="AE688" s="340"/>
      <c r="AI688" s="340"/>
      <c r="AN688" s="340"/>
      <c r="AO688" s="340"/>
      <c r="AS688" s="340"/>
      <c r="AX688" s="340"/>
      <c r="BB688" s="340"/>
      <c r="BD688" s="339"/>
    </row>
    <row r="689" spans="7:56" s="338" customFormat="1">
      <c r="G689" s="340"/>
      <c r="L689" s="340"/>
      <c r="P689" s="340"/>
      <c r="U689" s="340"/>
      <c r="V689" s="340"/>
      <c r="Z689" s="340"/>
      <c r="AE689" s="340"/>
      <c r="AI689" s="340"/>
      <c r="AN689" s="340"/>
      <c r="AO689" s="340"/>
      <c r="AS689" s="340"/>
      <c r="AX689" s="340"/>
      <c r="BB689" s="340"/>
      <c r="BD689" s="339"/>
    </row>
    <row r="690" spans="7:56" s="338" customFormat="1">
      <c r="G690" s="340"/>
      <c r="L690" s="340"/>
      <c r="P690" s="340"/>
      <c r="U690" s="340"/>
      <c r="V690" s="340"/>
      <c r="Z690" s="340"/>
      <c r="AE690" s="340"/>
      <c r="AI690" s="340"/>
      <c r="AN690" s="340"/>
      <c r="AO690" s="340"/>
      <c r="AS690" s="340"/>
      <c r="AX690" s="340"/>
      <c r="BB690" s="340"/>
      <c r="BD690" s="339"/>
    </row>
    <row r="691" spans="7:56" s="338" customFormat="1">
      <c r="G691" s="340"/>
      <c r="L691" s="340"/>
      <c r="P691" s="340"/>
      <c r="U691" s="340"/>
      <c r="V691" s="340"/>
      <c r="Z691" s="340"/>
      <c r="AE691" s="340"/>
      <c r="AI691" s="340"/>
      <c r="AN691" s="340"/>
      <c r="AO691" s="340"/>
      <c r="AS691" s="340"/>
      <c r="AX691" s="340"/>
      <c r="BB691" s="340"/>
      <c r="BD691" s="339"/>
    </row>
    <row r="692" spans="7:56" s="338" customFormat="1">
      <c r="G692" s="340"/>
      <c r="L692" s="340"/>
      <c r="P692" s="340"/>
      <c r="U692" s="340"/>
      <c r="V692" s="340"/>
      <c r="Z692" s="340"/>
      <c r="AE692" s="340"/>
      <c r="AI692" s="340"/>
      <c r="AN692" s="340"/>
      <c r="AO692" s="340"/>
      <c r="AS692" s="340"/>
      <c r="AX692" s="340"/>
      <c r="BB692" s="340"/>
      <c r="BD692" s="339"/>
    </row>
    <row r="693" spans="7:56" s="338" customFormat="1">
      <c r="G693" s="340"/>
      <c r="L693" s="340"/>
      <c r="P693" s="340"/>
      <c r="U693" s="340"/>
      <c r="V693" s="340"/>
      <c r="Z693" s="340"/>
      <c r="AE693" s="340"/>
      <c r="AI693" s="340"/>
      <c r="AN693" s="340"/>
      <c r="AO693" s="340"/>
      <c r="AS693" s="340"/>
      <c r="AX693" s="340"/>
      <c r="BB693" s="340"/>
      <c r="BD693" s="339"/>
    </row>
    <row r="694" spans="7:56" s="338" customFormat="1">
      <c r="G694" s="340"/>
      <c r="L694" s="340"/>
      <c r="P694" s="340"/>
      <c r="U694" s="340"/>
      <c r="V694" s="340"/>
      <c r="Z694" s="340"/>
      <c r="AE694" s="340"/>
      <c r="AI694" s="340"/>
      <c r="AN694" s="340"/>
      <c r="AO694" s="340"/>
      <c r="AS694" s="340"/>
      <c r="AX694" s="340"/>
      <c r="BB694" s="340"/>
      <c r="BD694" s="339"/>
    </row>
    <row r="695" spans="7:56" s="338" customFormat="1">
      <c r="G695" s="340"/>
      <c r="L695" s="340"/>
      <c r="P695" s="340"/>
      <c r="U695" s="340"/>
      <c r="V695" s="340"/>
      <c r="Z695" s="340"/>
      <c r="AE695" s="340"/>
      <c r="AI695" s="340"/>
      <c r="AN695" s="340"/>
      <c r="AO695" s="340"/>
      <c r="AS695" s="340"/>
      <c r="AX695" s="340"/>
      <c r="BB695" s="340"/>
      <c r="BD695" s="339"/>
    </row>
    <row r="696" spans="7:56" s="338" customFormat="1">
      <c r="G696" s="340"/>
      <c r="L696" s="340"/>
      <c r="P696" s="340"/>
      <c r="U696" s="340"/>
      <c r="V696" s="340"/>
      <c r="Z696" s="340"/>
      <c r="AE696" s="340"/>
      <c r="AI696" s="340"/>
      <c r="AN696" s="340"/>
      <c r="AO696" s="340"/>
      <c r="AS696" s="340"/>
      <c r="AX696" s="340"/>
      <c r="BB696" s="340"/>
      <c r="BD696" s="339"/>
    </row>
    <row r="697" spans="7:56" s="338" customFormat="1">
      <c r="G697" s="340"/>
      <c r="L697" s="340"/>
      <c r="P697" s="340"/>
      <c r="U697" s="340"/>
      <c r="V697" s="340"/>
      <c r="Z697" s="340"/>
      <c r="AE697" s="340"/>
      <c r="AI697" s="340"/>
      <c r="AN697" s="340"/>
      <c r="AO697" s="340"/>
      <c r="AS697" s="340"/>
      <c r="AX697" s="340"/>
      <c r="BB697" s="340"/>
      <c r="BD697" s="339"/>
    </row>
    <row r="698" spans="7:56" s="338" customFormat="1">
      <c r="G698" s="340"/>
      <c r="L698" s="340"/>
      <c r="P698" s="340"/>
      <c r="U698" s="340"/>
      <c r="V698" s="340"/>
      <c r="Z698" s="340"/>
      <c r="AE698" s="340"/>
      <c r="AI698" s="340"/>
      <c r="AN698" s="340"/>
      <c r="AO698" s="340"/>
      <c r="AS698" s="340"/>
      <c r="AX698" s="340"/>
      <c r="BB698" s="340"/>
      <c r="BD698" s="339"/>
    </row>
    <row r="699" spans="7:56" s="338" customFormat="1">
      <c r="G699" s="340"/>
      <c r="L699" s="340"/>
      <c r="P699" s="340"/>
      <c r="U699" s="340"/>
      <c r="V699" s="340"/>
      <c r="Z699" s="340"/>
      <c r="AE699" s="340"/>
      <c r="AI699" s="340"/>
      <c r="AN699" s="340"/>
      <c r="AO699" s="340"/>
      <c r="AS699" s="340"/>
      <c r="AX699" s="340"/>
      <c r="BB699" s="340"/>
      <c r="BD699" s="339"/>
    </row>
    <row r="700" spans="7:56" s="338" customFormat="1">
      <c r="G700" s="340"/>
      <c r="L700" s="340"/>
      <c r="P700" s="340"/>
      <c r="U700" s="340"/>
      <c r="V700" s="340"/>
      <c r="Z700" s="340"/>
      <c r="AE700" s="340"/>
      <c r="AI700" s="340"/>
      <c r="AN700" s="340"/>
      <c r="AO700" s="340"/>
      <c r="AS700" s="340"/>
      <c r="AX700" s="340"/>
      <c r="BB700" s="340"/>
      <c r="BD700" s="339"/>
    </row>
    <row r="701" spans="7:56" s="338" customFormat="1">
      <c r="G701" s="340"/>
      <c r="L701" s="340"/>
      <c r="P701" s="340"/>
      <c r="U701" s="340"/>
      <c r="V701" s="340"/>
      <c r="Z701" s="340"/>
      <c r="AE701" s="340"/>
      <c r="AI701" s="340"/>
      <c r="AN701" s="340"/>
      <c r="AO701" s="340"/>
      <c r="AS701" s="340"/>
      <c r="AX701" s="340"/>
      <c r="BB701" s="340"/>
      <c r="BD701" s="339"/>
    </row>
    <row r="702" spans="7:56" s="338" customFormat="1">
      <c r="G702" s="340"/>
      <c r="L702" s="340"/>
      <c r="P702" s="340"/>
      <c r="U702" s="340"/>
      <c r="V702" s="340"/>
      <c r="Z702" s="340"/>
      <c r="AE702" s="340"/>
      <c r="AI702" s="340"/>
      <c r="AN702" s="340"/>
      <c r="AO702" s="340"/>
      <c r="AS702" s="340"/>
      <c r="AX702" s="340"/>
      <c r="BB702" s="340"/>
      <c r="BD702" s="339"/>
    </row>
    <row r="703" spans="7:56" s="338" customFormat="1">
      <c r="G703" s="340"/>
      <c r="L703" s="340"/>
      <c r="P703" s="340"/>
      <c r="U703" s="340"/>
      <c r="V703" s="340"/>
      <c r="Z703" s="340"/>
      <c r="AE703" s="340"/>
      <c r="AI703" s="340"/>
      <c r="AN703" s="340"/>
      <c r="AO703" s="340"/>
      <c r="AS703" s="340"/>
      <c r="AX703" s="340"/>
      <c r="BB703" s="340"/>
      <c r="BD703" s="339"/>
    </row>
    <row r="704" spans="7:56" s="338" customFormat="1">
      <c r="G704" s="340"/>
      <c r="L704" s="340"/>
      <c r="P704" s="340"/>
      <c r="U704" s="340"/>
      <c r="V704" s="340"/>
      <c r="Z704" s="340"/>
      <c r="AE704" s="340"/>
      <c r="AI704" s="340"/>
      <c r="AN704" s="340"/>
      <c r="AO704" s="340"/>
      <c r="AS704" s="340"/>
      <c r="AX704" s="340"/>
      <c r="BB704" s="340"/>
      <c r="BD704" s="339"/>
    </row>
    <row r="705" spans="7:56" s="338" customFormat="1">
      <c r="G705" s="340"/>
      <c r="L705" s="340"/>
      <c r="P705" s="340"/>
      <c r="U705" s="340"/>
      <c r="V705" s="340"/>
      <c r="Z705" s="340"/>
      <c r="AE705" s="340"/>
      <c r="AI705" s="340"/>
      <c r="AN705" s="340"/>
      <c r="AO705" s="340"/>
      <c r="AS705" s="340"/>
      <c r="AX705" s="340"/>
      <c r="BB705" s="340"/>
      <c r="BD705" s="339"/>
    </row>
    <row r="706" spans="7:56" s="338" customFormat="1">
      <c r="G706" s="340"/>
      <c r="L706" s="340"/>
      <c r="P706" s="340"/>
      <c r="U706" s="340"/>
      <c r="V706" s="340"/>
      <c r="Z706" s="340"/>
      <c r="AE706" s="340"/>
      <c r="AI706" s="340"/>
      <c r="AN706" s="340"/>
      <c r="AO706" s="340"/>
      <c r="AS706" s="340"/>
      <c r="AX706" s="340"/>
      <c r="BB706" s="340"/>
      <c r="BD706" s="339"/>
    </row>
    <row r="707" spans="7:56" s="338" customFormat="1">
      <c r="G707" s="340"/>
      <c r="L707" s="340"/>
      <c r="P707" s="340"/>
      <c r="U707" s="340"/>
      <c r="V707" s="340"/>
      <c r="Z707" s="340"/>
      <c r="AE707" s="340"/>
      <c r="AI707" s="340"/>
      <c r="AN707" s="340"/>
      <c r="AO707" s="340"/>
      <c r="AS707" s="340"/>
      <c r="AX707" s="340"/>
      <c r="BB707" s="340"/>
      <c r="BD707" s="339"/>
    </row>
    <row r="708" spans="7:56" s="338" customFormat="1">
      <c r="G708" s="340"/>
      <c r="L708" s="340"/>
      <c r="P708" s="340"/>
      <c r="U708" s="340"/>
      <c r="V708" s="340"/>
      <c r="Z708" s="340"/>
      <c r="AE708" s="340"/>
      <c r="AI708" s="340"/>
      <c r="AN708" s="340"/>
      <c r="AO708" s="340"/>
      <c r="AS708" s="340"/>
      <c r="AX708" s="340"/>
      <c r="BB708" s="340"/>
      <c r="BD708" s="339"/>
    </row>
    <row r="709" spans="7:56" s="338" customFormat="1">
      <c r="G709" s="340"/>
      <c r="L709" s="340"/>
      <c r="P709" s="340"/>
      <c r="U709" s="340"/>
      <c r="V709" s="340"/>
      <c r="Z709" s="340"/>
      <c r="AE709" s="340"/>
      <c r="AI709" s="340"/>
      <c r="AN709" s="340"/>
      <c r="AO709" s="340"/>
      <c r="AS709" s="340"/>
      <c r="AX709" s="340"/>
      <c r="BB709" s="340"/>
      <c r="BD709" s="339"/>
    </row>
    <row r="710" spans="7:56" s="338" customFormat="1">
      <c r="G710" s="340"/>
      <c r="L710" s="340"/>
      <c r="P710" s="340"/>
      <c r="U710" s="340"/>
      <c r="V710" s="340"/>
      <c r="Z710" s="340"/>
      <c r="AE710" s="340"/>
      <c r="AI710" s="340"/>
      <c r="AN710" s="340"/>
      <c r="AO710" s="340"/>
      <c r="AS710" s="340"/>
      <c r="AX710" s="340"/>
      <c r="BB710" s="340"/>
      <c r="BD710" s="339"/>
    </row>
    <row r="711" spans="7:56" s="338" customFormat="1">
      <c r="G711" s="340"/>
      <c r="L711" s="340"/>
      <c r="P711" s="340"/>
      <c r="U711" s="340"/>
      <c r="V711" s="340"/>
      <c r="Z711" s="340"/>
      <c r="AE711" s="340"/>
      <c r="AI711" s="340"/>
      <c r="AN711" s="340"/>
      <c r="AO711" s="340"/>
      <c r="AS711" s="340"/>
      <c r="AX711" s="340"/>
      <c r="BB711" s="340"/>
      <c r="BD711" s="339"/>
    </row>
    <row r="712" spans="7:56" s="338" customFormat="1">
      <c r="G712" s="340"/>
      <c r="L712" s="340"/>
      <c r="P712" s="340"/>
      <c r="U712" s="340"/>
      <c r="V712" s="340"/>
      <c r="Z712" s="340"/>
      <c r="AE712" s="340"/>
      <c r="AI712" s="340"/>
      <c r="AN712" s="340"/>
      <c r="AO712" s="340"/>
      <c r="AS712" s="340"/>
      <c r="AX712" s="340"/>
      <c r="BB712" s="340"/>
      <c r="BD712" s="339"/>
    </row>
    <row r="713" spans="7:56" s="338" customFormat="1">
      <c r="G713" s="340"/>
      <c r="L713" s="340"/>
      <c r="P713" s="340"/>
      <c r="U713" s="340"/>
      <c r="V713" s="340"/>
      <c r="Z713" s="340"/>
      <c r="AE713" s="340"/>
      <c r="AI713" s="340"/>
      <c r="AN713" s="340"/>
      <c r="AO713" s="340"/>
      <c r="AS713" s="340"/>
      <c r="AX713" s="340"/>
      <c r="BB713" s="340"/>
      <c r="BD713" s="339"/>
    </row>
    <row r="714" spans="7:56" s="338" customFormat="1">
      <c r="G714" s="340"/>
      <c r="L714" s="340"/>
      <c r="P714" s="340"/>
      <c r="U714" s="340"/>
      <c r="V714" s="340"/>
      <c r="Z714" s="340"/>
      <c r="AE714" s="340"/>
      <c r="AI714" s="340"/>
      <c r="AN714" s="340"/>
      <c r="AO714" s="340"/>
      <c r="AS714" s="340"/>
      <c r="AX714" s="340"/>
      <c r="BB714" s="340"/>
      <c r="BD714" s="339"/>
    </row>
    <row r="715" spans="7:56" s="338" customFormat="1">
      <c r="G715" s="340"/>
      <c r="L715" s="340"/>
      <c r="P715" s="340"/>
      <c r="U715" s="340"/>
      <c r="V715" s="340"/>
      <c r="Z715" s="340"/>
      <c r="AE715" s="340"/>
      <c r="AI715" s="340"/>
      <c r="AN715" s="340"/>
      <c r="AO715" s="340"/>
      <c r="AS715" s="340"/>
      <c r="AX715" s="340"/>
      <c r="BB715" s="340"/>
      <c r="BD715" s="339"/>
    </row>
    <row r="716" spans="7:56" s="338" customFormat="1">
      <c r="G716" s="340"/>
      <c r="L716" s="340"/>
      <c r="P716" s="340"/>
      <c r="U716" s="340"/>
      <c r="V716" s="340"/>
      <c r="Z716" s="340"/>
      <c r="AE716" s="340"/>
      <c r="AI716" s="340"/>
      <c r="AN716" s="340"/>
      <c r="AO716" s="340"/>
      <c r="AS716" s="340"/>
      <c r="AX716" s="340"/>
      <c r="BB716" s="340"/>
      <c r="BD716" s="339"/>
    </row>
    <row r="717" spans="7:56" s="338" customFormat="1">
      <c r="G717" s="340"/>
      <c r="L717" s="340"/>
      <c r="P717" s="340"/>
      <c r="U717" s="340"/>
      <c r="V717" s="340"/>
      <c r="Z717" s="340"/>
      <c r="AE717" s="340"/>
      <c r="AI717" s="340"/>
      <c r="AN717" s="340"/>
      <c r="AO717" s="340"/>
      <c r="AS717" s="340"/>
      <c r="AX717" s="340"/>
      <c r="BB717" s="340"/>
      <c r="BD717" s="339"/>
    </row>
    <row r="718" spans="7:56" s="338" customFormat="1">
      <c r="G718" s="340"/>
      <c r="L718" s="340"/>
      <c r="P718" s="340"/>
      <c r="U718" s="340"/>
      <c r="V718" s="340"/>
      <c r="Z718" s="340"/>
      <c r="AE718" s="340"/>
      <c r="AI718" s="340"/>
      <c r="AN718" s="340"/>
      <c r="AO718" s="340"/>
      <c r="AS718" s="340"/>
      <c r="AX718" s="340"/>
      <c r="BB718" s="340"/>
      <c r="BD718" s="339"/>
    </row>
    <row r="719" spans="7:56" s="338" customFormat="1">
      <c r="G719" s="340"/>
      <c r="L719" s="340"/>
      <c r="P719" s="340"/>
      <c r="U719" s="340"/>
      <c r="V719" s="340"/>
      <c r="Z719" s="340"/>
      <c r="AE719" s="340"/>
      <c r="AI719" s="340"/>
      <c r="AN719" s="340"/>
      <c r="AO719" s="340"/>
      <c r="AS719" s="340"/>
      <c r="AX719" s="340"/>
      <c r="BB719" s="340"/>
      <c r="BD719" s="339"/>
    </row>
    <row r="720" spans="7:56" s="338" customFormat="1">
      <c r="G720" s="340"/>
      <c r="L720" s="340"/>
      <c r="P720" s="340"/>
      <c r="U720" s="340"/>
      <c r="V720" s="340"/>
      <c r="Z720" s="340"/>
      <c r="AE720" s="340"/>
      <c r="AI720" s="340"/>
      <c r="AN720" s="340"/>
      <c r="AO720" s="340"/>
      <c r="AS720" s="340"/>
      <c r="AX720" s="340"/>
      <c r="BB720" s="340"/>
      <c r="BD720" s="339"/>
    </row>
    <row r="721" spans="7:56" s="338" customFormat="1">
      <c r="G721" s="340"/>
      <c r="L721" s="340"/>
      <c r="P721" s="340"/>
      <c r="U721" s="340"/>
      <c r="V721" s="340"/>
      <c r="Z721" s="340"/>
      <c r="AE721" s="340"/>
      <c r="AI721" s="340"/>
      <c r="AN721" s="340"/>
      <c r="AO721" s="340"/>
      <c r="AS721" s="340"/>
      <c r="AX721" s="340"/>
      <c r="BB721" s="340"/>
      <c r="BD721" s="339"/>
    </row>
    <row r="722" spans="7:56" s="338" customFormat="1">
      <c r="G722" s="340"/>
      <c r="L722" s="340"/>
      <c r="P722" s="340"/>
      <c r="U722" s="340"/>
      <c r="V722" s="340"/>
      <c r="Z722" s="340"/>
      <c r="AE722" s="340"/>
      <c r="AI722" s="340"/>
      <c r="AN722" s="340"/>
      <c r="AO722" s="340"/>
      <c r="AS722" s="340"/>
      <c r="AX722" s="340"/>
      <c r="BB722" s="340"/>
      <c r="BD722" s="339"/>
    </row>
    <row r="723" spans="7:56" s="338" customFormat="1">
      <c r="G723" s="340"/>
      <c r="L723" s="340"/>
      <c r="P723" s="340"/>
      <c r="U723" s="340"/>
      <c r="V723" s="340"/>
      <c r="Z723" s="340"/>
      <c r="AE723" s="340"/>
      <c r="AI723" s="340"/>
      <c r="AN723" s="340"/>
      <c r="AO723" s="340"/>
      <c r="AS723" s="340"/>
      <c r="AX723" s="340"/>
      <c r="BB723" s="340"/>
      <c r="BD723" s="339"/>
    </row>
    <row r="724" spans="7:56" s="338" customFormat="1">
      <c r="G724" s="340"/>
      <c r="L724" s="340"/>
      <c r="P724" s="340"/>
      <c r="U724" s="340"/>
      <c r="V724" s="340"/>
      <c r="Z724" s="340"/>
      <c r="AE724" s="340"/>
      <c r="AI724" s="340"/>
      <c r="AN724" s="340"/>
      <c r="AO724" s="340"/>
      <c r="AS724" s="340"/>
      <c r="AX724" s="340"/>
      <c r="BB724" s="340"/>
      <c r="BD724" s="339"/>
    </row>
    <row r="725" spans="7:56" s="338" customFormat="1">
      <c r="G725" s="340"/>
      <c r="L725" s="340"/>
      <c r="P725" s="340"/>
      <c r="U725" s="340"/>
      <c r="V725" s="340"/>
      <c r="Z725" s="340"/>
      <c r="AE725" s="340"/>
      <c r="AI725" s="340"/>
      <c r="AN725" s="340"/>
      <c r="AO725" s="340"/>
      <c r="AS725" s="340"/>
      <c r="AX725" s="340"/>
      <c r="BB725" s="340"/>
      <c r="BD725" s="339"/>
    </row>
    <row r="726" spans="7:56" s="338" customFormat="1">
      <c r="G726" s="340"/>
      <c r="L726" s="340"/>
      <c r="P726" s="340"/>
      <c r="U726" s="340"/>
      <c r="V726" s="340"/>
      <c r="Z726" s="340"/>
      <c r="AE726" s="340"/>
      <c r="AI726" s="340"/>
      <c r="AN726" s="340"/>
      <c r="AO726" s="340"/>
      <c r="AS726" s="340"/>
      <c r="AX726" s="340"/>
      <c r="BB726" s="340"/>
      <c r="BD726" s="339"/>
    </row>
    <row r="727" spans="7:56" s="338" customFormat="1">
      <c r="G727" s="340"/>
      <c r="L727" s="340"/>
      <c r="P727" s="340"/>
      <c r="U727" s="340"/>
      <c r="V727" s="340"/>
      <c r="Z727" s="340"/>
      <c r="AE727" s="340"/>
      <c r="AI727" s="340"/>
      <c r="AN727" s="340"/>
      <c r="AO727" s="340"/>
      <c r="AS727" s="340"/>
      <c r="AX727" s="340"/>
      <c r="BB727" s="340"/>
      <c r="BD727" s="339"/>
    </row>
    <row r="728" spans="7:56" s="338" customFormat="1">
      <c r="G728" s="340"/>
      <c r="L728" s="340"/>
      <c r="P728" s="340"/>
      <c r="U728" s="340"/>
      <c r="V728" s="340"/>
      <c r="Z728" s="340"/>
      <c r="AE728" s="340"/>
      <c r="AI728" s="340"/>
      <c r="AN728" s="340"/>
      <c r="AO728" s="340"/>
      <c r="AS728" s="340"/>
      <c r="AX728" s="340"/>
      <c r="BB728" s="340"/>
      <c r="BD728" s="339"/>
    </row>
    <row r="729" spans="7:56" s="338" customFormat="1">
      <c r="G729" s="340"/>
      <c r="L729" s="340"/>
      <c r="P729" s="340"/>
      <c r="U729" s="340"/>
      <c r="V729" s="340"/>
      <c r="Z729" s="340"/>
      <c r="AE729" s="340"/>
      <c r="AI729" s="340"/>
      <c r="AN729" s="340"/>
      <c r="AO729" s="340"/>
      <c r="AS729" s="340"/>
      <c r="AX729" s="340"/>
      <c r="BB729" s="340"/>
      <c r="BD729" s="339"/>
    </row>
    <row r="730" spans="7:56" s="338" customFormat="1">
      <c r="G730" s="340"/>
      <c r="L730" s="340"/>
      <c r="P730" s="340"/>
      <c r="U730" s="340"/>
      <c r="V730" s="340"/>
      <c r="Z730" s="340"/>
      <c r="AE730" s="340"/>
      <c r="AI730" s="340"/>
      <c r="AN730" s="340"/>
      <c r="AO730" s="340"/>
      <c r="AS730" s="340"/>
      <c r="AX730" s="340"/>
      <c r="BB730" s="340"/>
      <c r="BD730" s="339"/>
    </row>
    <row r="731" spans="7:56" s="338" customFormat="1">
      <c r="G731" s="340"/>
      <c r="L731" s="340"/>
      <c r="P731" s="340"/>
      <c r="U731" s="340"/>
      <c r="V731" s="340"/>
      <c r="Z731" s="340"/>
      <c r="AE731" s="340"/>
      <c r="AI731" s="340"/>
      <c r="AN731" s="340"/>
      <c r="AO731" s="340"/>
      <c r="AS731" s="340"/>
      <c r="AX731" s="340"/>
      <c r="BB731" s="340"/>
      <c r="BD731" s="339"/>
    </row>
    <row r="732" spans="7:56" s="338" customFormat="1">
      <c r="G732" s="340"/>
      <c r="L732" s="340"/>
      <c r="P732" s="340"/>
      <c r="U732" s="340"/>
      <c r="V732" s="340"/>
      <c r="Z732" s="340"/>
      <c r="AE732" s="340"/>
      <c r="AI732" s="340"/>
      <c r="AN732" s="340"/>
      <c r="AO732" s="340"/>
      <c r="AS732" s="340"/>
      <c r="AX732" s="340"/>
      <c r="BB732" s="340"/>
      <c r="BD732" s="339"/>
    </row>
    <row r="733" spans="7:56" s="338" customFormat="1">
      <c r="G733" s="340"/>
      <c r="L733" s="340"/>
      <c r="P733" s="340"/>
      <c r="U733" s="340"/>
      <c r="V733" s="340"/>
      <c r="Z733" s="340"/>
      <c r="AE733" s="340"/>
      <c r="AI733" s="340"/>
      <c r="AN733" s="340"/>
      <c r="AO733" s="340"/>
      <c r="AS733" s="340"/>
      <c r="AX733" s="340"/>
      <c r="BB733" s="340"/>
      <c r="BD733" s="339"/>
    </row>
    <row r="734" spans="7:56" s="338" customFormat="1">
      <c r="G734" s="340"/>
      <c r="L734" s="340"/>
      <c r="P734" s="340"/>
      <c r="U734" s="340"/>
      <c r="V734" s="340"/>
      <c r="Z734" s="340"/>
      <c r="AE734" s="340"/>
      <c r="AI734" s="340"/>
      <c r="AN734" s="340"/>
      <c r="AO734" s="340"/>
      <c r="AS734" s="340"/>
      <c r="AX734" s="340"/>
      <c r="BB734" s="340"/>
      <c r="BD734" s="339"/>
    </row>
    <row r="735" spans="7:56" s="338" customFormat="1">
      <c r="G735" s="340"/>
      <c r="L735" s="340"/>
      <c r="P735" s="340"/>
      <c r="U735" s="340"/>
      <c r="V735" s="340"/>
      <c r="Z735" s="340"/>
      <c r="AE735" s="340"/>
      <c r="AI735" s="340"/>
      <c r="AN735" s="340"/>
      <c r="AO735" s="340"/>
      <c r="AS735" s="340"/>
      <c r="AX735" s="340"/>
      <c r="BB735" s="340"/>
      <c r="BD735" s="339"/>
    </row>
    <row r="736" spans="7:56" s="338" customFormat="1">
      <c r="G736" s="340"/>
      <c r="L736" s="340"/>
      <c r="P736" s="340"/>
      <c r="U736" s="340"/>
      <c r="V736" s="340"/>
      <c r="Z736" s="340"/>
      <c r="AE736" s="340"/>
      <c r="AI736" s="340"/>
      <c r="AN736" s="340"/>
      <c r="AO736" s="340"/>
      <c r="AS736" s="340"/>
      <c r="AX736" s="340"/>
      <c r="BB736" s="340"/>
      <c r="BD736" s="339"/>
    </row>
    <row r="737" spans="7:56" s="338" customFormat="1">
      <c r="G737" s="340"/>
      <c r="L737" s="340"/>
      <c r="P737" s="340"/>
      <c r="U737" s="340"/>
      <c r="V737" s="340"/>
      <c r="Z737" s="340"/>
      <c r="AE737" s="340"/>
      <c r="AI737" s="340"/>
      <c r="AN737" s="340"/>
      <c r="AO737" s="340"/>
      <c r="AS737" s="340"/>
      <c r="AX737" s="340"/>
      <c r="BB737" s="340"/>
      <c r="BD737" s="339"/>
    </row>
    <row r="738" spans="7:56" s="338" customFormat="1">
      <c r="G738" s="340"/>
      <c r="L738" s="340"/>
      <c r="P738" s="340"/>
      <c r="U738" s="340"/>
      <c r="V738" s="340"/>
      <c r="Z738" s="340"/>
      <c r="AE738" s="340"/>
      <c r="AI738" s="340"/>
      <c r="AN738" s="340"/>
      <c r="AO738" s="340"/>
      <c r="AS738" s="340"/>
      <c r="AX738" s="340"/>
      <c r="BB738" s="340"/>
      <c r="BD738" s="339"/>
    </row>
    <row r="739" spans="7:56" s="338" customFormat="1">
      <c r="G739" s="340"/>
      <c r="L739" s="340"/>
      <c r="P739" s="340"/>
      <c r="U739" s="340"/>
      <c r="V739" s="340"/>
      <c r="Z739" s="340"/>
      <c r="AE739" s="340"/>
      <c r="AI739" s="340"/>
      <c r="AN739" s="340"/>
      <c r="AO739" s="340"/>
      <c r="AS739" s="340"/>
      <c r="AX739" s="340"/>
      <c r="BB739" s="340"/>
      <c r="BD739" s="339"/>
    </row>
    <row r="740" spans="7:56" s="338" customFormat="1">
      <c r="G740" s="340"/>
      <c r="L740" s="340"/>
      <c r="P740" s="340"/>
      <c r="U740" s="340"/>
      <c r="V740" s="340"/>
      <c r="Z740" s="340"/>
      <c r="AE740" s="340"/>
      <c r="AI740" s="340"/>
      <c r="AN740" s="340"/>
      <c r="AO740" s="340"/>
      <c r="AS740" s="340"/>
      <c r="AX740" s="340"/>
      <c r="BB740" s="340"/>
      <c r="BD740" s="339"/>
    </row>
    <row r="741" spans="7:56" s="338" customFormat="1">
      <c r="G741" s="340"/>
      <c r="L741" s="340"/>
      <c r="P741" s="340"/>
      <c r="U741" s="340"/>
      <c r="V741" s="340"/>
      <c r="Z741" s="340"/>
      <c r="AE741" s="340"/>
      <c r="AI741" s="340"/>
      <c r="AN741" s="340"/>
      <c r="AO741" s="340"/>
      <c r="AS741" s="340"/>
      <c r="AX741" s="340"/>
      <c r="BB741" s="340"/>
      <c r="BD741" s="339"/>
    </row>
    <row r="742" spans="7:56" s="338" customFormat="1">
      <c r="G742" s="340"/>
      <c r="L742" s="340"/>
      <c r="P742" s="340"/>
      <c r="U742" s="340"/>
      <c r="V742" s="340"/>
      <c r="Z742" s="340"/>
      <c r="AE742" s="340"/>
      <c r="AI742" s="340"/>
      <c r="AN742" s="340"/>
      <c r="AO742" s="340"/>
      <c r="AS742" s="340"/>
      <c r="AX742" s="340"/>
      <c r="BB742" s="340"/>
      <c r="BD742" s="339"/>
    </row>
    <row r="743" spans="7:56" s="338" customFormat="1">
      <c r="G743" s="340"/>
      <c r="L743" s="340"/>
      <c r="P743" s="340"/>
      <c r="U743" s="340"/>
      <c r="V743" s="340"/>
      <c r="Z743" s="340"/>
      <c r="AE743" s="340"/>
      <c r="AI743" s="340"/>
      <c r="AN743" s="340"/>
      <c r="AO743" s="340"/>
      <c r="AS743" s="340"/>
      <c r="AX743" s="340"/>
      <c r="BB743" s="340"/>
      <c r="BD743" s="339"/>
    </row>
    <row r="744" spans="7:56" s="338" customFormat="1">
      <c r="G744" s="340"/>
      <c r="L744" s="340"/>
      <c r="P744" s="340"/>
      <c r="U744" s="340"/>
      <c r="V744" s="340"/>
      <c r="Z744" s="340"/>
      <c r="AE744" s="340"/>
      <c r="AI744" s="340"/>
      <c r="AN744" s="340"/>
      <c r="AO744" s="340"/>
      <c r="AS744" s="340"/>
      <c r="AX744" s="340"/>
      <c r="BB744" s="340"/>
      <c r="BD744" s="339"/>
    </row>
    <row r="745" spans="7:56" s="338" customFormat="1">
      <c r="G745" s="340"/>
      <c r="L745" s="340"/>
      <c r="P745" s="340"/>
      <c r="U745" s="340"/>
      <c r="V745" s="340"/>
      <c r="Z745" s="340"/>
      <c r="AE745" s="340"/>
      <c r="AI745" s="340"/>
      <c r="AN745" s="340"/>
      <c r="AO745" s="340"/>
      <c r="AS745" s="340"/>
      <c r="AX745" s="340"/>
      <c r="BB745" s="340"/>
      <c r="BD745" s="339"/>
    </row>
    <row r="746" spans="7:56" s="338" customFormat="1">
      <c r="G746" s="340"/>
      <c r="L746" s="340"/>
      <c r="P746" s="340"/>
      <c r="U746" s="340"/>
      <c r="V746" s="340"/>
      <c r="Z746" s="340"/>
      <c r="AE746" s="340"/>
      <c r="AI746" s="340"/>
      <c r="AN746" s="340"/>
      <c r="AO746" s="340"/>
      <c r="AS746" s="340"/>
      <c r="AX746" s="340"/>
      <c r="BB746" s="340"/>
      <c r="BD746" s="339"/>
    </row>
    <row r="747" spans="7:56" s="338" customFormat="1">
      <c r="G747" s="340"/>
      <c r="L747" s="340"/>
      <c r="P747" s="340"/>
      <c r="U747" s="340"/>
      <c r="V747" s="340"/>
      <c r="Z747" s="340"/>
      <c r="AE747" s="340"/>
      <c r="AI747" s="340"/>
      <c r="AN747" s="340"/>
      <c r="AO747" s="340"/>
      <c r="AS747" s="340"/>
      <c r="AX747" s="340"/>
      <c r="BB747" s="340"/>
      <c r="BD747" s="339"/>
    </row>
    <row r="748" spans="7:56" s="338" customFormat="1">
      <c r="G748" s="340"/>
      <c r="L748" s="340"/>
      <c r="P748" s="340"/>
      <c r="U748" s="340"/>
      <c r="V748" s="340"/>
      <c r="Z748" s="340"/>
      <c r="AE748" s="340"/>
      <c r="AI748" s="340"/>
      <c r="AN748" s="340"/>
      <c r="AO748" s="340"/>
      <c r="AS748" s="340"/>
      <c r="AX748" s="340"/>
      <c r="BB748" s="340"/>
      <c r="BD748" s="339"/>
    </row>
    <row r="749" spans="7:56" s="338" customFormat="1">
      <c r="G749" s="340"/>
      <c r="L749" s="340"/>
      <c r="P749" s="340"/>
      <c r="U749" s="340"/>
      <c r="V749" s="340"/>
      <c r="Z749" s="340"/>
      <c r="AE749" s="340"/>
      <c r="AI749" s="340"/>
      <c r="AN749" s="340"/>
      <c r="AO749" s="340"/>
      <c r="AS749" s="340"/>
      <c r="AX749" s="340"/>
      <c r="BB749" s="340"/>
      <c r="BD749" s="339"/>
    </row>
    <row r="750" spans="7:56" s="338" customFormat="1">
      <c r="G750" s="340"/>
      <c r="L750" s="340"/>
      <c r="P750" s="340"/>
      <c r="U750" s="340"/>
      <c r="V750" s="340"/>
      <c r="Z750" s="340"/>
      <c r="AE750" s="340"/>
      <c r="AI750" s="340"/>
      <c r="AN750" s="340"/>
      <c r="AO750" s="340"/>
      <c r="AS750" s="340"/>
      <c r="AX750" s="340"/>
      <c r="BB750" s="340"/>
      <c r="BD750" s="339"/>
    </row>
    <row r="751" spans="7:56" s="338" customFormat="1">
      <c r="G751" s="340"/>
      <c r="L751" s="340"/>
      <c r="P751" s="340"/>
      <c r="U751" s="340"/>
      <c r="V751" s="340"/>
      <c r="Z751" s="340"/>
      <c r="AE751" s="340"/>
      <c r="AI751" s="340"/>
      <c r="AN751" s="340"/>
      <c r="AO751" s="340"/>
      <c r="AS751" s="340"/>
      <c r="AX751" s="340"/>
      <c r="BB751" s="340"/>
      <c r="BD751" s="339"/>
    </row>
    <row r="752" spans="7:56" s="338" customFormat="1">
      <c r="G752" s="340"/>
      <c r="L752" s="340"/>
      <c r="P752" s="340"/>
      <c r="U752" s="340"/>
      <c r="V752" s="340"/>
      <c r="Z752" s="340"/>
      <c r="AE752" s="340"/>
      <c r="AI752" s="340"/>
      <c r="AN752" s="340"/>
      <c r="AO752" s="340"/>
      <c r="AS752" s="340"/>
      <c r="AX752" s="340"/>
      <c r="BB752" s="340"/>
      <c r="BD752" s="339"/>
    </row>
    <row r="753" spans="7:56" s="338" customFormat="1">
      <c r="G753" s="340"/>
      <c r="L753" s="340"/>
      <c r="P753" s="340"/>
      <c r="U753" s="340"/>
      <c r="V753" s="340"/>
      <c r="Z753" s="340"/>
      <c r="AE753" s="340"/>
      <c r="AI753" s="340"/>
      <c r="AN753" s="340"/>
      <c r="AO753" s="340"/>
      <c r="AS753" s="340"/>
      <c r="AX753" s="340"/>
      <c r="BB753" s="340"/>
      <c r="BD753" s="339"/>
    </row>
    <row r="754" spans="7:56" s="338" customFormat="1">
      <c r="G754" s="340"/>
      <c r="L754" s="340"/>
      <c r="P754" s="340"/>
      <c r="U754" s="340"/>
      <c r="V754" s="340"/>
      <c r="Z754" s="340"/>
      <c r="AE754" s="340"/>
      <c r="AI754" s="340"/>
      <c r="AN754" s="340"/>
      <c r="AO754" s="340"/>
      <c r="AS754" s="340"/>
      <c r="AX754" s="340"/>
      <c r="BB754" s="340"/>
      <c r="BD754" s="339"/>
    </row>
    <row r="755" spans="7:56" s="338" customFormat="1">
      <c r="G755" s="340"/>
      <c r="L755" s="340"/>
      <c r="P755" s="340"/>
      <c r="U755" s="340"/>
      <c r="V755" s="340"/>
      <c r="Z755" s="340"/>
      <c r="AE755" s="340"/>
      <c r="AI755" s="340"/>
      <c r="AN755" s="340"/>
      <c r="AO755" s="340"/>
      <c r="AS755" s="340"/>
      <c r="AX755" s="340"/>
      <c r="BB755" s="340"/>
      <c r="BD755" s="339"/>
    </row>
    <row r="756" spans="7:56" s="338" customFormat="1">
      <c r="G756" s="340"/>
      <c r="L756" s="340"/>
      <c r="P756" s="340"/>
      <c r="U756" s="340"/>
      <c r="V756" s="340"/>
      <c r="Z756" s="340"/>
      <c r="AE756" s="340"/>
      <c r="AI756" s="340"/>
      <c r="AN756" s="340"/>
      <c r="AO756" s="340"/>
      <c r="AS756" s="340"/>
      <c r="AX756" s="340"/>
      <c r="BB756" s="340"/>
      <c r="BD756" s="339"/>
    </row>
    <row r="757" spans="7:56" s="338" customFormat="1">
      <c r="G757" s="340"/>
      <c r="L757" s="340"/>
      <c r="P757" s="340"/>
      <c r="U757" s="340"/>
      <c r="V757" s="340"/>
      <c r="Z757" s="340"/>
      <c r="AE757" s="340"/>
      <c r="AI757" s="340"/>
      <c r="AN757" s="340"/>
      <c r="AO757" s="340"/>
      <c r="AS757" s="340"/>
      <c r="AX757" s="340"/>
      <c r="BB757" s="340"/>
      <c r="BD757" s="339"/>
    </row>
    <row r="758" spans="7:56" s="338" customFormat="1">
      <c r="G758" s="340"/>
      <c r="L758" s="340"/>
      <c r="P758" s="340"/>
      <c r="U758" s="340"/>
      <c r="V758" s="340"/>
      <c r="Z758" s="340"/>
      <c r="AE758" s="340"/>
      <c r="AI758" s="340"/>
      <c r="AN758" s="340"/>
      <c r="AO758" s="340"/>
      <c r="AS758" s="340"/>
      <c r="AX758" s="340"/>
      <c r="BB758" s="340"/>
      <c r="BD758" s="339"/>
    </row>
    <row r="759" spans="7:56" s="338" customFormat="1">
      <c r="G759" s="340"/>
      <c r="L759" s="340"/>
      <c r="P759" s="340"/>
      <c r="U759" s="340"/>
      <c r="V759" s="340"/>
      <c r="Z759" s="340"/>
      <c r="AE759" s="340"/>
      <c r="AI759" s="340"/>
      <c r="AN759" s="340"/>
      <c r="AO759" s="340"/>
      <c r="AS759" s="340"/>
      <c r="AX759" s="340"/>
      <c r="BB759" s="340"/>
      <c r="BD759" s="339"/>
    </row>
    <row r="760" spans="7:56" s="338" customFormat="1">
      <c r="G760" s="340"/>
      <c r="L760" s="340"/>
      <c r="P760" s="340"/>
      <c r="U760" s="340"/>
      <c r="V760" s="340"/>
      <c r="Z760" s="340"/>
      <c r="AE760" s="340"/>
      <c r="AI760" s="340"/>
      <c r="AN760" s="340"/>
      <c r="AO760" s="340"/>
      <c r="AS760" s="340"/>
      <c r="AX760" s="340"/>
      <c r="BB760" s="340"/>
      <c r="BD760" s="339"/>
    </row>
    <row r="761" spans="7:56" s="338" customFormat="1">
      <c r="G761" s="340"/>
      <c r="L761" s="340"/>
      <c r="P761" s="340"/>
      <c r="U761" s="340"/>
      <c r="V761" s="340"/>
      <c r="Z761" s="340"/>
      <c r="AE761" s="340"/>
      <c r="AI761" s="340"/>
      <c r="AN761" s="340"/>
      <c r="AO761" s="340"/>
      <c r="AS761" s="340"/>
      <c r="AX761" s="340"/>
      <c r="BB761" s="340"/>
      <c r="BD761" s="339"/>
    </row>
    <row r="762" spans="7:56" s="338" customFormat="1">
      <c r="G762" s="340"/>
      <c r="L762" s="340"/>
      <c r="P762" s="340"/>
      <c r="U762" s="340"/>
      <c r="V762" s="340"/>
      <c r="Z762" s="340"/>
      <c r="AE762" s="340"/>
      <c r="AI762" s="340"/>
      <c r="AN762" s="340"/>
      <c r="AO762" s="340"/>
      <c r="AS762" s="340"/>
      <c r="AX762" s="340"/>
      <c r="BB762" s="340"/>
      <c r="BD762" s="339"/>
    </row>
    <row r="763" spans="7:56" s="338" customFormat="1">
      <c r="G763" s="340"/>
      <c r="L763" s="340"/>
      <c r="P763" s="340"/>
      <c r="U763" s="340"/>
      <c r="V763" s="340"/>
      <c r="Z763" s="340"/>
      <c r="AE763" s="340"/>
      <c r="AI763" s="340"/>
      <c r="AN763" s="340"/>
      <c r="AO763" s="340"/>
      <c r="AS763" s="340"/>
      <c r="AX763" s="340"/>
      <c r="BB763" s="340"/>
      <c r="BD763" s="339"/>
    </row>
    <row r="764" spans="7:56" s="338" customFormat="1">
      <c r="G764" s="340"/>
      <c r="L764" s="340"/>
      <c r="P764" s="340"/>
      <c r="U764" s="340"/>
      <c r="V764" s="340"/>
      <c r="Z764" s="340"/>
      <c r="AE764" s="340"/>
      <c r="AI764" s="340"/>
      <c r="AN764" s="340"/>
      <c r="AO764" s="340"/>
      <c r="AS764" s="340"/>
      <c r="AX764" s="340"/>
      <c r="BB764" s="340"/>
      <c r="BD764" s="339"/>
    </row>
    <row r="765" spans="7:56" s="338" customFormat="1">
      <c r="G765" s="340"/>
      <c r="L765" s="340"/>
      <c r="P765" s="340"/>
      <c r="U765" s="340"/>
      <c r="V765" s="340"/>
      <c r="Z765" s="340"/>
      <c r="AE765" s="340"/>
      <c r="AI765" s="340"/>
      <c r="AN765" s="340"/>
      <c r="AO765" s="340"/>
      <c r="AS765" s="340"/>
      <c r="AX765" s="340"/>
      <c r="BB765" s="340"/>
      <c r="BD765" s="339"/>
    </row>
    <row r="766" spans="7:56" s="338" customFormat="1">
      <c r="G766" s="340"/>
      <c r="L766" s="340"/>
      <c r="P766" s="340"/>
      <c r="U766" s="340"/>
      <c r="V766" s="340"/>
      <c r="Z766" s="340"/>
      <c r="AE766" s="340"/>
      <c r="AI766" s="340"/>
      <c r="AN766" s="340"/>
      <c r="AO766" s="340"/>
      <c r="AS766" s="340"/>
      <c r="AX766" s="340"/>
      <c r="BB766" s="340"/>
      <c r="BD766" s="339"/>
    </row>
    <row r="767" spans="7:56" s="338" customFormat="1">
      <c r="G767" s="340"/>
      <c r="L767" s="340"/>
      <c r="P767" s="340"/>
      <c r="U767" s="340"/>
      <c r="V767" s="340"/>
      <c r="Z767" s="340"/>
      <c r="AE767" s="340"/>
      <c r="AI767" s="340"/>
      <c r="AN767" s="340"/>
      <c r="AO767" s="340"/>
      <c r="AS767" s="340"/>
      <c r="AX767" s="340"/>
      <c r="BB767" s="340"/>
      <c r="BD767" s="339"/>
    </row>
    <row r="768" spans="7:56" s="338" customFormat="1">
      <c r="G768" s="340"/>
      <c r="L768" s="340"/>
      <c r="P768" s="340"/>
      <c r="U768" s="340"/>
      <c r="V768" s="340"/>
      <c r="Z768" s="340"/>
      <c r="AE768" s="340"/>
      <c r="AI768" s="340"/>
      <c r="AN768" s="340"/>
      <c r="AO768" s="340"/>
      <c r="AS768" s="340"/>
      <c r="AX768" s="340"/>
      <c r="BB768" s="340"/>
      <c r="BD768" s="339"/>
    </row>
    <row r="769" spans="7:56" s="338" customFormat="1">
      <c r="G769" s="340"/>
      <c r="L769" s="340"/>
      <c r="P769" s="340"/>
      <c r="U769" s="340"/>
      <c r="V769" s="340"/>
      <c r="Z769" s="340"/>
      <c r="AE769" s="340"/>
      <c r="AI769" s="340"/>
      <c r="AN769" s="340"/>
      <c r="AO769" s="340"/>
      <c r="AS769" s="340"/>
      <c r="AX769" s="340"/>
      <c r="BB769" s="340"/>
      <c r="BD769" s="339"/>
    </row>
    <row r="770" spans="7:56" s="338" customFormat="1">
      <c r="G770" s="340"/>
      <c r="L770" s="340"/>
      <c r="P770" s="340"/>
      <c r="U770" s="340"/>
      <c r="V770" s="340"/>
      <c r="Z770" s="340"/>
      <c r="AE770" s="340"/>
      <c r="AI770" s="340"/>
      <c r="AN770" s="340"/>
      <c r="AO770" s="340"/>
      <c r="AS770" s="340"/>
      <c r="AX770" s="340"/>
      <c r="BB770" s="340"/>
      <c r="BD770" s="339"/>
    </row>
    <row r="771" spans="7:56" s="338" customFormat="1">
      <c r="G771" s="340"/>
      <c r="L771" s="340"/>
      <c r="P771" s="340"/>
      <c r="U771" s="340"/>
      <c r="V771" s="340"/>
      <c r="Z771" s="340"/>
      <c r="AE771" s="340"/>
      <c r="AI771" s="340"/>
      <c r="AN771" s="340"/>
      <c r="AO771" s="340"/>
      <c r="AS771" s="340"/>
      <c r="AX771" s="340"/>
      <c r="BB771" s="340"/>
      <c r="BD771" s="339"/>
    </row>
    <row r="772" spans="7:56" s="338" customFormat="1">
      <c r="G772" s="340"/>
      <c r="L772" s="340"/>
      <c r="P772" s="340"/>
      <c r="U772" s="340"/>
      <c r="V772" s="340"/>
      <c r="Z772" s="340"/>
      <c r="AE772" s="340"/>
      <c r="AI772" s="340"/>
      <c r="AN772" s="340"/>
      <c r="AO772" s="340"/>
      <c r="AS772" s="340"/>
      <c r="AX772" s="340"/>
      <c r="BB772" s="340"/>
      <c r="BD772" s="339"/>
    </row>
    <row r="773" spans="7:56" s="338" customFormat="1">
      <c r="G773" s="340"/>
      <c r="L773" s="340"/>
      <c r="P773" s="340"/>
      <c r="U773" s="340"/>
      <c r="V773" s="340"/>
      <c r="Z773" s="340"/>
      <c r="AE773" s="340"/>
      <c r="AI773" s="340"/>
      <c r="AN773" s="340"/>
      <c r="AO773" s="340"/>
      <c r="AS773" s="340"/>
      <c r="AX773" s="340"/>
      <c r="BB773" s="340"/>
      <c r="BD773" s="339"/>
    </row>
    <row r="774" spans="7:56" s="338" customFormat="1">
      <c r="G774" s="340"/>
      <c r="L774" s="340"/>
      <c r="P774" s="340"/>
      <c r="U774" s="340"/>
      <c r="V774" s="340"/>
      <c r="Z774" s="340"/>
      <c r="AE774" s="340"/>
      <c r="AI774" s="340"/>
      <c r="AN774" s="340"/>
      <c r="AO774" s="340"/>
      <c r="AS774" s="340"/>
      <c r="AX774" s="340"/>
      <c r="BB774" s="340"/>
      <c r="BD774" s="339"/>
    </row>
    <row r="775" spans="7:56" s="338" customFormat="1">
      <c r="G775" s="340"/>
      <c r="L775" s="340"/>
      <c r="P775" s="340"/>
      <c r="U775" s="340"/>
      <c r="V775" s="340"/>
      <c r="Z775" s="340"/>
      <c r="AE775" s="340"/>
      <c r="AI775" s="340"/>
      <c r="AN775" s="340"/>
      <c r="AO775" s="340"/>
      <c r="AS775" s="340"/>
      <c r="AX775" s="340"/>
      <c r="BB775" s="340"/>
      <c r="BD775" s="339"/>
    </row>
    <row r="776" spans="7:56" s="338" customFormat="1">
      <c r="G776" s="340"/>
      <c r="L776" s="340"/>
      <c r="P776" s="340"/>
      <c r="U776" s="340"/>
      <c r="V776" s="340"/>
      <c r="Z776" s="340"/>
      <c r="AE776" s="340"/>
      <c r="AI776" s="340"/>
      <c r="AN776" s="340"/>
      <c r="AO776" s="340"/>
      <c r="AS776" s="340"/>
      <c r="AX776" s="340"/>
      <c r="BB776" s="340"/>
      <c r="BD776" s="339"/>
    </row>
    <row r="777" spans="7:56" s="338" customFormat="1">
      <c r="G777" s="340"/>
      <c r="L777" s="340"/>
      <c r="P777" s="340"/>
      <c r="U777" s="340"/>
      <c r="V777" s="340"/>
      <c r="Z777" s="340"/>
      <c r="AE777" s="340"/>
      <c r="AI777" s="340"/>
      <c r="AN777" s="340"/>
      <c r="AO777" s="340"/>
      <c r="AS777" s="340"/>
      <c r="AX777" s="340"/>
      <c r="BB777" s="340"/>
      <c r="BD777" s="339"/>
    </row>
    <row r="778" spans="7:56" s="338" customFormat="1">
      <c r="G778" s="340"/>
      <c r="L778" s="340"/>
      <c r="P778" s="340"/>
      <c r="U778" s="340"/>
      <c r="V778" s="340"/>
      <c r="Z778" s="340"/>
      <c r="AE778" s="340"/>
      <c r="AI778" s="340"/>
      <c r="AN778" s="340"/>
      <c r="AO778" s="340"/>
      <c r="AS778" s="340"/>
      <c r="AX778" s="340"/>
      <c r="BB778" s="340"/>
      <c r="BD778" s="339"/>
    </row>
    <row r="779" spans="7:56" s="338" customFormat="1">
      <c r="G779" s="340"/>
      <c r="L779" s="340"/>
      <c r="P779" s="340"/>
      <c r="U779" s="340"/>
      <c r="V779" s="340"/>
      <c r="Z779" s="340"/>
      <c r="AE779" s="340"/>
      <c r="AI779" s="340"/>
      <c r="AN779" s="340"/>
      <c r="AO779" s="340"/>
      <c r="AS779" s="340"/>
      <c r="AX779" s="340"/>
      <c r="BB779" s="340"/>
      <c r="BD779" s="339"/>
    </row>
    <row r="780" spans="7:56" s="338" customFormat="1">
      <c r="G780" s="340"/>
      <c r="L780" s="340"/>
      <c r="P780" s="340"/>
      <c r="U780" s="340"/>
      <c r="V780" s="340"/>
      <c r="Z780" s="340"/>
      <c r="AE780" s="340"/>
      <c r="AI780" s="340"/>
      <c r="AN780" s="340"/>
      <c r="AO780" s="340"/>
      <c r="AS780" s="340"/>
      <c r="AX780" s="340"/>
      <c r="BB780" s="340"/>
      <c r="BD780" s="339"/>
    </row>
    <row r="781" spans="7:56" s="338" customFormat="1">
      <c r="G781" s="340"/>
      <c r="L781" s="340"/>
      <c r="P781" s="340"/>
      <c r="U781" s="340"/>
      <c r="V781" s="340"/>
      <c r="Z781" s="340"/>
      <c r="AE781" s="340"/>
      <c r="AI781" s="340"/>
      <c r="AN781" s="340"/>
      <c r="AO781" s="340"/>
      <c r="AS781" s="340"/>
      <c r="AX781" s="340"/>
      <c r="BB781" s="340"/>
      <c r="BD781" s="339"/>
    </row>
    <row r="782" spans="7:56" s="338" customFormat="1">
      <c r="G782" s="340"/>
      <c r="L782" s="340"/>
      <c r="P782" s="340"/>
      <c r="U782" s="340"/>
      <c r="V782" s="340"/>
      <c r="Z782" s="340"/>
      <c r="AE782" s="340"/>
      <c r="AI782" s="340"/>
      <c r="AN782" s="340"/>
      <c r="AO782" s="340"/>
      <c r="AS782" s="340"/>
      <c r="AX782" s="340"/>
      <c r="BB782" s="340"/>
      <c r="BD782" s="339"/>
    </row>
    <row r="783" spans="7:56" s="338" customFormat="1">
      <c r="G783" s="340"/>
      <c r="L783" s="340"/>
      <c r="P783" s="340"/>
      <c r="U783" s="340"/>
      <c r="V783" s="340"/>
      <c r="Z783" s="340"/>
      <c r="AE783" s="340"/>
      <c r="AI783" s="340"/>
      <c r="AN783" s="340"/>
      <c r="AO783" s="340"/>
      <c r="AS783" s="340"/>
      <c r="AX783" s="340"/>
      <c r="BB783" s="340"/>
      <c r="BD783" s="339"/>
    </row>
    <row r="784" spans="7:56" s="338" customFormat="1">
      <c r="G784" s="340"/>
      <c r="L784" s="340"/>
      <c r="P784" s="340"/>
      <c r="U784" s="340"/>
      <c r="V784" s="340"/>
      <c r="Z784" s="340"/>
      <c r="AE784" s="340"/>
      <c r="AI784" s="340"/>
      <c r="AN784" s="340"/>
      <c r="AO784" s="340"/>
      <c r="AS784" s="340"/>
      <c r="AX784" s="340"/>
      <c r="BB784" s="340"/>
      <c r="BD784" s="339"/>
    </row>
    <row r="785" spans="7:56" s="338" customFormat="1">
      <c r="G785" s="340"/>
      <c r="L785" s="340"/>
      <c r="P785" s="340"/>
      <c r="U785" s="340"/>
      <c r="V785" s="340"/>
      <c r="Z785" s="340"/>
      <c r="AE785" s="340"/>
      <c r="AI785" s="340"/>
      <c r="AN785" s="340"/>
      <c r="AO785" s="340"/>
      <c r="AS785" s="340"/>
      <c r="AX785" s="340"/>
      <c r="BB785" s="340"/>
      <c r="BD785" s="339"/>
    </row>
    <row r="786" spans="7:56" s="338" customFormat="1">
      <c r="G786" s="340"/>
      <c r="L786" s="340"/>
      <c r="P786" s="340"/>
      <c r="U786" s="340"/>
      <c r="V786" s="340"/>
      <c r="Z786" s="340"/>
      <c r="AE786" s="340"/>
      <c r="AI786" s="340"/>
      <c r="AN786" s="340"/>
      <c r="AO786" s="340"/>
      <c r="AS786" s="340"/>
      <c r="AX786" s="340"/>
      <c r="BB786" s="340"/>
      <c r="BD786" s="339"/>
    </row>
    <row r="787" spans="7:56" s="338" customFormat="1">
      <c r="G787" s="340"/>
      <c r="L787" s="340"/>
      <c r="P787" s="340"/>
      <c r="U787" s="340"/>
      <c r="V787" s="340"/>
      <c r="Z787" s="340"/>
      <c r="AE787" s="340"/>
      <c r="AI787" s="340"/>
      <c r="AN787" s="340"/>
      <c r="AO787" s="340"/>
      <c r="AS787" s="340"/>
      <c r="AX787" s="340"/>
      <c r="BB787" s="340"/>
      <c r="BD787" s="339"/>
    </row>
    <row r="788" spans="7:56" s="338" customFormat="1">
      <c r="G788" s="340"/>
      <c r="L788" s="340"/>
      <c r="P788" s="340"/>
      <c r="U788" s="340"/>
      <c r="V788" s="340"/>
      <c r="Z788" s="340"/>
      <c r="AE788" s="340"/>
      <c r="AI788" s="340"/>
      <c r="AN788" s="340"/>
      <c r="AO788" s="340"/>
      <c r="AS788" s="340"/>
      <c r="AX788" s="340"/>
      <c r="BB788" s="340"/>
      <c r="BD788" s="339"/>
    </row>
    <row r="789" spans="7:56" s="338" customFormat="1">
      <c r="G789" s="340"/>
      <c r="L789" s="340"/>
      <c r="P789" s="340"/>
      <c r="U789" s="340"/>
      <c r="V789" s="340"/>
      <c r="Z789" s="340"/>
      <c r="AE789" s="340"/>
      <c r="AI789" s="340"/>
      <c r="AN789" s="340"/>
      <c r="AO789" s="340"/>
      <c r="AS789" s="340"/>
      <c r="AX789" s="340"/>
      <c r="BB789" s="340"/>
      <c r="BD789" s="339"/>
    </row>
    <row r="790" spans="7:56" s="338" customFormat="1">
      <c r="G790" s="340"/>
      <c r="L790" s="340"/>
      <c r="P790" s="340"/>
      <c r="U790" s="340"/>
      <c r="V790" s="340"/>
      <c r="Z790" s="340"/>
      <c r="AE790" s="340"/>
      <c r="AI790" s="340"/>
      <c r="AN790" s="340"/>
      <c r="AO790" s="340"/>
      <c r="AS790" s="340"/>
      <c r="AX790" s="340"/>
      <c r="BB790" s="340"/>
      <c r="BD790" s="339"/>
    </row>
    <row r="791" spans="7:56" s="338" customFormat="1">
      <c r="G791" s="340"/>
      <c r="L791" s="340"/>
      <c r="P791" s="340"/>
      <c r="U791" s="340"/>
      <c r="V791" s="340"/>
      <c r="Z791" s="340"/>
      <c r="AE791" s="340"/>
      <c r="AI791" s="340"/>
      <c r="AN791" s="340"/>
      <c r="AO791" s="340"/>
      <c r="AS791" s="340"/>
      <c r="AX791" s="340"/>
      <c r="BB791" s="340"/>
      <c r="BD791" s="339"/>
    </row>
    <row r="792" spans="7:56" s="338" customFormat="1">
      <c r="G792" s="340"/>
      <c r="L792" s="340"/>
      <c r="P792" s="340"/>
      <c r="U792" s="340"/>
      <c r="V792" s="340"/>
      <c r="Z792" s="340"/>
      <c r="AE792" s="340"/>
      <c r="AI792" s="340"/>
      <c r="AN792" s="340"/>
      <c r="AO792" s="340"/>
      <c r="AS792" s="340"/>
      <c r="AX792" s="340"/>
      <c r="BB792" s="340"/>
      <c r="BD792" s="339"/>
    </row>
    <row r="793" spans="7:56" s="338" customFormat="1">
      <c r="G793" s="340"/>
      <c r="L793" s="340"/>
      <c r="P793" s="340"/>
      <c r="U793" s="340"/>
      <c r="V793" s="340"/>
      <c r="Z793" s="340"/>
      <c r="AE793" s="340"/>
      <c r="AI793" s="340"/>
      <c r="AN793" s="340"/>
      <c r="AO793" s="340"/>
      <c r="AS793" s="340"/>
      <c r="AX793" s="340"/>
      <c r="BB793" s="340"/>
      <c r="BD793" s="339"/>
    </row>
    <row r="794" spans="7:56" s="338" customFormat="1">
      <c r="G794" s="340"/>
      <c r="L794" s="340"/>
      <c r="P794" s="340"/>
      <c r="U794" s="340"/>
      <c r="V794" s="340"/>
      <c r="Z794" s="340"/>
      <c r="AE794" s="340"/>
      <c r="AI794" s="340"/>
      <c r="AN794" s="340"/>
      <c r="AO794" s="340"/>
      <c r="AS794" s="340"/>
      <c r="AX794" s="340"/>
      <c r="BB794" s="340"/>
      <c r="BD794" s="339"/>
    </row>
    <row r="795" spans="7:56" s="338" customFormat="1">
      <c r="G795" s="340"/>
      <c r="L795" s="340"/>
      <c r="P795" s="340"/>
      <c r="U795" s="340"/>
      <c r="V795" s="340"/>
      <c r="Z795" s="340"/>
      <c r="AE795" s="340"/>
      <c r="AI795" s="340"/>
      <c r="AN795" s="340"/>
      <c r="AO795" s="340"/>
      <c r="AS795" s="340"/>
      <c r="AX795" s="340"/>
      <c r="BB795" s="340"/>
      <c r="BD795" s="339"/>
    </row>
    <row r="796" spans="7:56" s="338" customFormat="1">
      <c r="G796" s="340"/>
      <c r="L796" s="340"/>
      <c r="P796" s="340"/>
      <c r="U796" s="340"/>
      <c r="V796" s="340"/>
      <c r="Z796" s="340"/>
      <c r="AE796" s="340"/>
      <c r="AI796" s="340"/>
      <c r="AN796" s="340"/>
      <c r="AO796" s="340"/>
      <c r="AS796" s="340"/>
      <c r="AX796" s="340"/>
      <c r="BB796" s="340"/>
      <c r="BD796" s="339"/>
    </row>
    <row r="797" spans="7:56" s="338" customFormat="1">
      <c r="G797" s="340"/>
      <c r="L797" s="340"/>
      <c r="P797" s="340"/>
      <c r="U797" s="340"/>
      <c r="V797" s="340"/>
      <c r="Z797" s="340"/>
      <c r="AE797" s="340"/>
      <c r="AI797" s="340"/>
      <c r="AN797" s="340"/>
      <c r="AO797" s="340"/>
      <c r="AS797" s="340"/>
      <c r="AX797" s="340"/>
      <c r="BB797" s="340"/>
      <c r="BD797" s="339"/>
    </row>
    <row r="798" spans="7:56" s="338" customFormat="1">
      <c r="G798" s="340"/>
      <c r="L798" s="340"/>
      <c r="P798" s="340"/>
      <c r="U798" s="340"/>
      <c r="V798" s="340"/>
      <c r="Z798" s="340"/>
      <c r="AE798" s="340"/>
      <c r="AI798" s="340"/>
      <c r="AN798" s="340"/>
      <c r="AO798" s="340"/>
      <c r="AS798" s="340"/>
      <c r="AX798" s="340"/>
      <c r="BB798" s="340"/>
      <c r="BD798" s="339"/>
    </row>
    <row r="799" spans="7:56" s="338" customFormat="1">
      <c r="G799" s="340"/>
      <c r="L799" s="340"/>
      <c r="P799" s="340"/>
      <c r="U799" s="340"/>
      <c r="V799" s="340"/>
      <c r="Z799" s="340"/>
      <c r="AE799" s="340"/>
      <c r="AI799" s="340"/>
      <c r="AN799" s="340"/>
      <c r="AO799" s="340"/>
      <c r="AS799" s="340"/>
      <c r="AX799" s="340"/>
      <c r="BB799" s="340"/>
      <c r="BD799" s="339"/>
    </row>
    <row r="800" spans="7:56" s="338" customFormat="1">
      <c r="G800" s="340"/>
      <c r="L800" s="340"/>
      <c r="P800" s="340"/>
      <c r="U800" s="340"/>
      <c r="V800" s="340"/>
      <c r="Z800" s="340"/>
      <c r="AE800" s="340"/>
      <c r="AI800" s="340"/>
      <c r="AN800" s="340"/>
      <c r="AO800" s="340"/>
      <c r="AS800" s="340"/>
      <c r="AX800" s="340"/>
      <c r="BB800" s="340"/>
      <c r="BD800" s="339"/>
    </row>
    <row r="801" spans="7:56" s="338" customFormat="1">
      <c r="G801" s="340"/>
      <c r="L801" s="340"/>
      <c r="P801" s="340"/>
      <c r="U801" s="340"/>
      <c r="V801" s="340"/>
      <c r="Z801" s="340"/>
      <c r="AE801" s="340"/>
      <c r="AI801" s="340"/>
      <c r="AN801" s="340"/>
      <c r="AO801" s="340"/>
      <c r="AS801" s="340"/>
      <c r="AX801" s="340"/>
      <c r="BB801" s="340"/>
      <c r="BD801" s="339"/>
    </row>
    <row r="802" spans="7:56" s="338" customFormat="1">
      <c r="G802" s="340"/>
      <c r="L802" s="340"/>
      <c r="P802" s="340"/>
      <c r="U802" s="340"/>
      <c r="V802" s="340"/>
      <c r="Z802" s="340"/>
      <c r="AE802" s="340"/>
      <c r="AI802" s="340"/>
      <c r="AN802" s="340"/>
      <c r="AO802" s="340"/>
      <c r="AS802" s="340"/>
      <c r="AX802" s="340"/>
      <c r="BB802" s="340"/>
      <c r="BD802" s="339"/>
    </row>
    <row r="803" spans="7:56" s="338" customFormat="1">
      <c r="G803" s="340"/>
      <c r="L803" s="340"/>
      <c r="P803" s="340"/>
      <c r="U803" s="340"/>
      <c r="V803" s="340"/>
      <c r="Z803" s="340"/>
      <c r="AE803" s="340"/>
      <c r="AI803" s="340"/>
      <c r="AN803" s="340"/>
      <c r="AO803" s="340"/>
      <c r="AS803" s="340"/>
      <c r="AX803" s="340"/>
      <c r="BB803" s="340"/>
      <c r="BD803" s="339"/>
    </row>
    <row r="804" spans="7:56" s="338" customFormat="1">
      <c r="G804" s="340"/>
      <c r="L804" s="340"/>
      <c r="P804" s="340"/>
      <c r="U804" s="340"/>
      <c r="V804" s="340"/>
      <c r="Z804" s="340"/>
      <c r="AE804" s="340"/>
      <c r="AI804" s="340"/>
      <c r="AN804" s="340"/>
      <c r="AO804" s="340"/>
      <c r="AS804" s="340"/>
      <c r="AX804" s="340"/>
      <c r="BB804" s="340"/>
      <c r="BD804" s="339"/>
    </row>
    <row r="805" spans="7:56" s="338" customFormat="1">
      <c r="G805" s="340"/>
      <c r="L805" s="340"/>
      <c r="P805" s="340"/>
      <c r="U805" s="340"/>
      <c r="V805" s="340"/>
      <c r="Z805" s="340"/>
      <c r="AE805" s="340"/>
      <c r="AI805" s="340"/>
      <c r="AN805" s="340"/>
      <c r="AO805" s="340"/>
      <c r="AS805" s="340"/>
      <c r="AX805" s="340"/>
      <c r="BB805" s="340"/>
      <c r="BD805" s="339"/>
    </row>
    <row r="806" spans="7:56" s="338" customFormat="1">
      <c r="G806" s="340"/>
      <c r="L806" s="340"/>
      <c r="P806" s="340"/>
      <c r="U806" s="340"/>
      <c r="V806" s="340"/>
      <c r="Z806" s="340"/>
      <c r="AE806" s="340"/>
      <c r="AI806" s="340"/>
      <c r="AN806" s="340"/>
      <c r="AO806" s="340"/>
      <c r="AS806" s="340"/>
      <c r="AX806" s="340"/>
      <c r="BB806" s="340"/>
      <c r="BD806" s="339"/>
    </row>
    <row r="807" spans="7:56" s="338" customFormat="1">
      <c r="G807" s="340"/>
      <c r="L807" s="340"/>
      <c r="P807" s="340"/>
      <c r="U807" s="340"/>
      <c r="V807" s="340"/>
      <c r="Z807" s="340"/>
      <c r="AE807" s="340"/>
      <c r="AI807" s="340"/>
      <c r="AN807" s="340"/>
      <c r="AO807" s="340"/>
      <c r="AS807" s="340"/>
      <c r="AX807" s="340"/>
      <c r="BB807" s="340"/>
      <c r="BD807" s="339"/>
    </row>
    <row r="808" spans="7:56" s="338" customFormat="1">
      <c r="G808" s="340"/>
      <c r="L808" s="340"/>
      <c r="P808" s="340"/>
      <c r="U808" s="340"/>
      <c r="V808" s="340"/>
      <c r="Z808" s="340"/>
      <c r="AE808" s="340"/>
      <c r="AI808" s="340"/>
      <c r="AN808" s="340"/>
      <c r="AO808" s="340"/>
      <c r="AS808" s="340"/>
      <c r="AX808" s="340"/>
      <c r="BB808" s="340"/>
      <c r="BD808" s="339"/>
    </row>
    <row r="809" spans="7:56" s="338" customFormat="1">
      <c r="G809" s="340"/>
      <c r="L809" s="340"/>
      <c r="P809" s="340"/>
      <c r="U809" s="340"/>
      <c r="V809" s="340"/>
      <c r="Z809" s="340"/>
      <c r="AE809" s="340"/>
      <c r="AI809" s="340"/>
      <c r="AN809" s="340"/>
      <c r="AO809" s="340"/>
      <c r="AS809" s="340"/>
      <c r="AX809" s="340"/>
      <c r="BB809" s="340"/>
      <c r="BD809" s="339"/>
    </row>
    <row r="810" spans="7:56" s="338" customFormat="1">
      <c r="G810" s="340"/>
      <c r="L810" s="340"/>
      <c r="P810" s="340"/>
      <c r="U810" s="340"/>
      <c r="V810" s="340"/>
      <c r="Z810" s="340"/>
      <c r="AE810" s="340"/>
      <c r="AI810" s="340"/>
      <c r="AN810" s="340"/>
      <c r="AO810" s="340"/>
      <c r="AS810" s="340"/>
      <c r="AX810" s="340"/>
      <c r="BB810" s="340"/>
      <c r="BD810" s="339"/>
    </row>
    <row r="811" spans="7:56" s="338" customFormat="1">
      <c r="G811" s="340"/>
      <c r="L811" s="340"/>
      <c r="P811" s="340"/>
      <c r="U811" s="340"/>
      <c r="V811" s="340"/>
      <c r="Z811" s="340"/>
      <c r="AE811" s="340"/>
      <c r="AI811" s="340"/>
      <c r="AN811" s="340"/>
      <c r="AO811" s="340"/>
      <c r="AS811" s="340"/>
      <c r="AX811" s="340"/>
      <c r="BB811" s="340"/>
      <c r="BD811" s="339"/>
    </row>
    <row r="812" spans="7:56" s="338" customFormat="1">
      <c r="G812" s="340"/>
      <c r="L812" s="340"/>
      <c r="P812" s="340"/>
      <c r="U812" s="340"/>
      <c r="V812" s="340"/>
      <c r="Z812" s="340"/>
      <c r="AE812" s="340"/>
      <c r="AI812" s="340"/>
      <c r="AN812" s="340"/>
      <c r="AO812" s="340"/>
      <c r="AS812" s="340"/>
      <c r="AX812" s="340"/>
      <c r="BB812" s="340"/>
      <c r="BD812" s="339"/>
    </row>
    <row r="813" spans="7:56" s="338" customFormat="1">
      <c r="G813" s="340"/>
      <c r="L813" s="340"/>
      <c r="P813" s="340"/>
      <c r="U813" s="340"/>
      <c r="V813" s="340"/>
      <c r="Z813" s="340"/>
      <c r="AE813" s="340"/>
      <c r="AI813" s="340"/>
      <c r="AN813" s="340"/>
      <c r="AO813" s="340"/>
      <c r="AS813" s="340"/>
      <c r="AX813" s="340"/>
      <c r="BB813" s="340"/>
      <c r="BD813" s="339"/>
    </row>
    <row r="814" spans="7:56" s="338" customFormat="1">
      <c r="G814" s="340"/>
      <c r="L814" s="340"/>
      <c r="P814" s="340"/>
      <c r="U814" s="340"/>
      <c r="V814" s="340"/>
      <c r="Z814" s="340"/>
      <c r="AE814" s="340"/>
      <c r="AI814" s="340"/>
      <c r="AN814" s="340"/>
      <c r="AO814" s="340"/>
      <c r="AS814" s="340"/>
      <c r="AX814" s="340"/>
      <c r="BB814" s="340"/>
      <c r="BD814" s="339"/>
    </row>
    <row r="815" spans="7:56" s="338" customFormat="1">
      <c r="G815" s="340"/>
      <c r="L815" s="340"/>
      <c r="P815" s="340"/>
      <c r="U815" s="340"/>
      <c r="V815" s="340"/>
      <c r="Z815" s="340"/>
      <c r="AE815" s="340"/>
      <c r="AI815" s="340"/>
      <c r="AN815" s="340"/>
      <c r="AO815" s="340"/>
      <c r="AS815" s="340"/>
      <c r="AX815" s="340"/>
      <c r="BB815" s="340"/>
      <c r="BD815" s="339"/>
    </row>
    <row r="816" spans="7:56" s="338" customFormat="1">
      <c r="G816" s="340"/>
      <c r="L816" s="340"/>
      <c r="P816" s="340"/>
      <c r="U816" s="340"/>
      <c r="V816" s="340"/>
      <c r="Z816" s="340"/>
      <c r="AE816" s="340"/>
      <c r="AI816" s="340"/>
      <c r="AN816" s="340"/>
      <c r="AO816" s="340"/>
      <c r="AS816" s="340"/>
      <c r="AX816" s="340"/>
      <c r="BB816" s="340"/>
      <c r="BD816" s="339"/>
    </row>
    <row r="817" spans="7:56" s="338" customFormat="1">
      <c r="G817" s="340"/>
      <c r="L817" s="340"/>
      <c r="P817" s="340"/>
      <c r="U817" s="340"/>
      <c r="V817" s="340"/>
      <c r="Z817" s="340"/>
      <c r="AE817" s="340"/>
      <c r="AI817" s="340"/>
      <c r="AN817" s="340"/>
      <c r="AO817" s="340"/>
      <c r="AS817" s="340"/>
      <c r="AX817" s="340"/>
      <c r="BB817" s="340"/>
      <c r="BD817" s="339"/>
    </row>
    <row r="818" spans="7:56" s="338" customFormat="1">
      <c r="G818" s="340"/>
      <c r="L818" s="340"/>
      <c r="P818" s="340"/>
      <c r="U818" s="340"/>
      <c r="V818" s="340"/>
      <c r="Z818" s="340"/>
      <c r="AE818" s="340"/>
      <c r="AI818" s="340"/>
      <c r="AN818" s="340"/>
      <c r="AO818" s="340"/>
      <c r="AS818" s="340"/>
      <c r="AX818" s="340"/>
      <c r="BB818" s="340"/>
      <c r="BD818" s="339"/>
    </row>
    <row r="819" spans="7:56" s="338" customFormat="1">
      <c r="G819" s="340"/>
      <c r="L819" s="340"/>
      <c r="P819" s="340"/>
      <c r="U819" s="340"/>
      <c r="V819" s="340"/>
      <c r="Z819" s="340"/>
      <c r="AE819" s="340"/>
      <c r="AI819" s="340"/>
      <c r="AN819" s="340"/>
      <c r="AO819" s="340"/>
      <c r="AS819" s="340"/>
      <c r="AX819" s="340"/>
      <c r="BB819" s="340"/>
      <c r="BD819" s="339"/>
    </row>
    <row r="820" spans="7:56" s="338" customFormat="1">
      <c r="G820" s="340"/>
      <c r="L820" s="340"/>
      <c r="P820" s="340"/>
      <c r="U820" s="340"/>
      <c r="V820" s="340"/>
      <c r="Z820" s="340"/>
      <c r="AE820" s="340"/>
      <c r="AI820" s="340"/>
      <c r="AN820" s="340"/>
      <c r="AO820" s="340"/>
      <c r="AS820" s="340"/>
      <c r="AX820" s="340"/>
      <c r="BB820" s="340"/>
      <c r="BD820" s="339"/>
    </row>
    <row r="821" spans="7:56" s="338" customFormat="1">
      <c r="G821" s="340"/>
      <c r="L821" s="340"/>
      <c r="P821" s="340"/>
      <c r="U821" s="340"/>
      <c r="V821" s="340"/>
      <c r="Z821" s="340"/>
      <c r="AE821" s="340"/>
      <c r="AI821" s="340"/>
      <c r="AN821" s="340"/>
      <c r="AO821" s="340"/>
      <c r="AS821" s="340"/>
      <c r="AX821" s="340"/>
      <c r="BB821" s="340"/>
      <c r="BD821" s="339"/>
    </row>
    <row r="822" spans="7:56" s="338" customFormat="1">
      <c r="G822" s="340"/>
      <c r="L822" s="340"/>
      <c r="P822" s="340"/>
      <c r="U822" s="340"/>
      <c r="V822" s="340"/>
      <c r="Z822" s="340"/>
      <c r="AE822" s="340"/>
      <c r="AI822" s="340"/>
      <c r="AN822" s="340"/>
      <c r="AO822" s="340"/>
      <c r="AS822" s="340"/>
      <c r="AX822" s="340"/>
      <c r="BB822" s="340"/>
      <c r="BD822" s="339"/>
    </row>
    <row r="823" spans="7:56" s="338" customFormat="1">
      <c r="G823" s="340"/>
      <c r="L823" s="340"/>
      <c r="P823" s="340"/>
      <c r="U823" s="340"/>
      <c r="V823" s="340"/>
      <c r="Z823" s="340"/>
      <c r="AE823" s="340"/>
      <c r="AI823" s="340"/>
      <c r="AN823" s="340"/>
      <c r="AO823" s="340"/>
      <c r="AS823" s="340"/>
      <c r="AX823" s="340"/>
      <c r="BB823" s="340"/>
      <c r="BD823" s="339"/>
    </row>
    <row r="824" spans="7:56" s="338" customFormat="1">
      <c r="G824" s="340"/>
      <c r="L824" s="340"/>
      <c r="P824" s="340"/>
      <c r="U824" s="340"/>
      <c r="V824" s="340"/>
      <c r="Z824" s="340"/>
      <c r="AE824" s="340"/>
      <c r="AI824" s="340"/>
      <c r="AN824" s="340"/>
      <c r="AO824" s="340"/>
      <c r="AS824" s="340"/>
      <c r="AX824" s="340"/>
      <c r="BB824" s="340"/>
      <c r="BD824" s="339"/>
    </row>
    <row r="825" spans="7:56" s="338" customFormat="1">
      <c r="G825" s="340"/>
      <c r="L825" s="340"/>
      <c r="P825" s="340"/>
      <c r="U825" s="340"/>
      <c r="V825" s="340"/>
      <c r="Z825" s="340"/>
      <c r="AE825" s="340"/>
      <c r="AI825" s="340"/>
      <c r="AN825" s="340"/>
      <c r="AO825" s="340"/>
      <c r="AS825" s="340"/>
      <c r="AX825" s="340"/>
      <c r="BB825" s="340"/>
      <c r="BD825" s="339"/>
    </row>
    <row r="826" spans="7:56" s="338" customFormat="1">
      <c r="G826" s="340"/>
      <c r="L826" s="340"/>
      <c r="P826" s="340"/>
      <c r="U826" s="340"/>
      <c r="V826" s="340"/>
      <c r="Z826" s="340"/>
      <c r="AE826" s="340"/>
      <c r="AI826" s="340"/>
      <c r="AN826" s="340"/>
      <c r="AO826" s="340"/>
      <c r="AS826" s="340"/>
      <c r="AX826" s="340"/>
      <c r="BB826" s="340"/>
      <c r="BD826" s="339"/>
    </row>
    <row r="827" spans="7:56" s="338" customFormat="1">
      <c r="G827" s="340"/>
      <c r="L827" s="340"/>
      <c r="P827" s="340"/>
      <c r="U827" s="340"/>
      <c r="V827" s="340"/>
      <c r="Z827" s="340"/>
      <c r="AE827" s="340"/>
      <c r="AI827" s="340"/>
      <c r="AN827" s="340"/>
      <c r="AO827" s="340"/>
      <c r="AS827" s="340"/>
      <c r="AX827" s="340"/>
      <c r="BB827" s="340"/>
      <c r="BD827" s="339"/>
    </row>
    <row r="828" spans="7:56" s="338" customFormat="1">
      <c r="G828" s="340"/>
      <c r="L828" s="340"/>
      <c r="P828" s="340"/>
      <c r="U828" s="340"/>
      <c r="V828" s="340"/>
      <c r="Z828" s="340"/>
      <c r="AE828" s="340"/>
      <c r="AI828" s="340"/>
      <c r="AN828" s="340"/>
      <c r="AO828" s="340"/>
      <c r="AS828" s="340"/>
      <c r="AX828" s="340"/>
      <c r="BB828" s="340"/>
      <c r="BD828" s="339"/>
    </row>
    <row r="829" spans="7:56" s="338" customFormat="1">
      <c r="G829" s="340"/>
      <c r="L829" s="340"/>
      <c r="P829" s="340"/>
      <c r="U829" s="340"/>
      <c r="V829" s="340"/>
      <c r="Z829" s="340"/>
      <c r="AE829" s="340"/>
      <c r="AI829" s="340"/>
      <c r="AN829" s="340"/>
      <c r="AO829" s="340"/>
      <c r="AS829" s="340"/>
      <c r="AX829" s="340"/>
      <c r="BB829" s="340"/>
      <c r="BD829" s="339"/>
    </row>
    <row r="830" spans="7:56" s="338" customFormat="1">
      <c r="G830" s="340"/>
      <c r="L830" s="340"/>
      <c r="P830" s="340"/>
      <c r="U830" s="340"/>
      <c r="V830" s="340"/>
      <c r="Z830" s="340"/>
      <c r="AE830" s="340"/>
      <c r="AI830" s="340"/>
      <c r="AN830" s="340"/>
      <c r="AO830" s="340"/>
      <c r="AS830" s="340"/>
      <c r="AX830" s="340"/>
      <c r="BB830" s="340"/>
      <c r="BD830" s="339"/>
    </row>
    <row r="831" spans="7:56" s="338" customFormat="1">
      <c r="G831" s="340"/>
      <c r="L831" s="340"/>
      <c r="P831" s="340"/>
      <c r="U831" s="340"/>
      <c r="V831" s="340"/>
      <c r="Z831" s="340"/>
      <c r="AE831" s="340"/>
      <c r="AI831" s="340"/>
      <c r="AN831" s="340"/>
      <c r="AO831" s="340"/>
      <c r="AS831" s="340"/>
      <c r="AX831" s="340"/>
      <c r="BB831" s="340"/>
      <c r="BD831" s="339"/>
    </row>
    <row r="832" spans="7:56" s="338" customFormat="1">
      <c r="G832" s="340"/>
      <c r="L832" s="340"/>
      <c r="P832" s="340"/>
      <c r="U832" s="340"/>
      <c r="V832" s="340"/>
      <c r="Z832" s="340"/>
      <c r="AE832" s="340"/>
      <c r="AI832" s="340"/>
      <c r="AN832" s="340"/>
      <c r="AO832" s="340"/>
      <c r="AS832" s="340"/>
      <c r="AX832" s="340"/>
      <c r="BB832" s="340"/>
      <c r="BD832" s="339"/>
    </row>
    <row r="833" spans="7:56" s="338" customFormat="1">
      <c r="G833" s="340"/>
      <c r="L833" s="340"/>
      <c r="P833" s="340"/>
      <c r="U833" s="340"/>
      <c r="V833" s="340"/>
      <c r="Z833" s="340"/>
      <c r="AE833" s="340"/>
      <c r="AI833" s="340"/>
      <c r="AN833" s="340"/>
      <c r="AO833" s="340"/>
      <c r="AS833" s="340"/>
      <c r="AX833" s="340"/>
      <c r="BB833" s="340"/>
      <c r="BD833" s="339"/>
    </row>
    <row r="834" spans="7:56" s="338" customFormat="1">
      <c r="G834" s="340"/>
      <c r="L834" s="340"/>
      <c r="P834" s="340"/>
      <c r="U834" s="340"/>
      <c r="V834" s="340"/>
      <c r="Z834" s="340"/>
      <c r="AE834" s="340"/>
      <c r="AI834" s="340"/>
      <c r="AN834" s="340"/>
      <c r="AO834" s="340"/>
      <c r="AS834" s="340"/>
      <c r="AX834" s="340"/>
      <c r="BB834" s="340"/>
      <c r="BD834" s="339"/>
    </row>
    <row r="835" spans="7:56" s="338" customFormat="1">
      <c r="G835" s="340"/>
      <c r="L835" s="340"/>
      <c r="P835" s="340"/>
      <c r="U835" s="340"/>
      <c r="V835" s="340"/>
      <c r="Z835" s="340"/>
      <c r="AE835" s="340"/>
      <c r="AI835" s="340"/>
      <c r="AN835" s="340"/>
      <c r="AO835" s="340"/>
      <c r="AS835" s="340"/>
      <c r="AX835" s="340"/>
      <c r="BB835" s="340"/>
      <c r="BD835" s="339"/>
    </row>
    <row r="836" spans="7:56" s="338" customFormat="1">
      <c r="G836" s="340"/>
      <c r="L836" s="340"/>
      <c r="P836" s="340"/>
      <c r="U836" s="340"/>
      <c r="V836" s="340"/>
      <c r="Z836" s="340"/>
      <c r="AE836" s="340"/>
      <c r="AI836" s="340"/>
      <c r="AN836" s="340"/>
      <c r="AO836" s="340"/>
      <c r="AS836" s="340"/>
      <c r="AX836" s="340"/>
      <c r="BB836" s="340"/>
      <c r="BD836" s="339"/>
    </row>
    <row r="837" spans="7:56" s="338" customFormat="1">
      <c r="G837" s="340"/>
      <c r="L837" s="340"/>
      <c r="P837" s="340"/>
      <c r="U837" s="340"/>
      <c r="V837" s="340"/>
      <c r="Z837" s="340"/>
      <c r="AE837" s="340"/>
      <c r="AI837" s="340"/>
      <c r="AN837" s="340"/>
      <c r="AO837" s="340"/>
      <c r="AS837" s="340"/>
      <c r="AX837" s="340"/>
      <c r="BB837" s="340"/>
      <c r="BD837" s="339"/>
    </row>
    <row r="838" spans="7:56" s="338" customFormat="1">
      <c r="G838" s="340"/>
      <c r="L838" s="340"/>
      <c r="P838" s="340"/>
      <c r="U838" s="340"/>
      <c r="V838" s="340"/>
      <c r="Z838" s="340"/>
      <c r="AE838" s="340"/>
      <c r="AI838" s="340"/>
      <c r="AN838" s="340"/>
      <c r="AO838" s="340"/>
      <c r="AS838" s="340"/>
      <c r="AX838" s="340"/>
      <c r="BB838" s="340"/>
      <c r="BD838" s="339"/>
    </row>
    <row r="839" spans="7:56" s="338" customFormat="1">
      <c r="G839" s="340"/>
      <c r="L839" s="340"/>
      <c r="P839" s="340"/>
      <c r="U839" s="340"/>
      <c r="V839" s="340"/>
      <c r="Z839" s="340"/>
      <c r="AE839" s="340"/>
      <c r="AI839" s="340"/>
      <c r="AN839" s="340"/>
      <c r="AO839" s="340"/>
      <c r="AS839" s="340"/>
      <c r="AX839" s="340"/>
      <c r="BB839" s="340"/>
      <c r="BD839" s="339"/>
    </row>
    <row r="840" spans="7:56" s="338" customFormat="1">
      <c r="G840" s="340"/>
      <c r="L840" s="340"/>
      <c r="P840" s="340"/>
      <c r="U840" s="340"/>
      <c r="V840" s="340"/>
      <c r="Z840" s="340"/>
      <c r="AE840" s="340"/>
      <c r="AI840" s="340"/>
      <c r="AN840" s="340"/>
      <c r="AO840" s="340"/>
      <c r="AS840" s="340"/>
      <c r="AX840" s="340"/>
      <c r="BB840" s="340"/>
      <c r="BD840" s="339"/>
    </row>
    <row r="841" spans="7:56" s="338" customFormat="1">
      <c r="G841" s="340"/>
      <c r="L841" s="340"/>
      <c r="P841" s="340"/>
      <c r="U841" s="340"/>
      <c r="V841" s="340"/>
      <c r="Z841" s="340"/>
      <c r="AE841" s="340"/>
      <c r="AI841" s="340"/>
      <c r="AN841" s="340"/>
      <c r="AO841" s="340"/>
      <c r="AS841" s="340"/>
      <c r="AX841" s="340"/>
      <c r="BB841" s="340"/>
      <c r="BD841" s="339"/>
    </row>
    <row r="842" spans="7:56" s="338" customFormat="1">
      <c r="G842" s="340"/>
      <c r="L842" s="340"/>
      <c r="P842" s="340"/>
      <c r="U842" s="340"/>
      <c r="V842" s="340"/>
      <c r="Z842" s="340"/>
      <c r="AE842" s="340"/>
      <c r="AI842" s="340"/>
      <c r="AN842" s="340"/>
      <c r="AO842" s="340"/>
      <c r="AS842" s="340"/>
      <c r="AX842" s="340"/>
      <c r="BB842" s="340"/>
      <c r="BD842" s="339"/>
    </row>
    <row r="843" spans="7:56" s="338" customFormat="1">
      <c r="G843" s="340"/>
      <c r="L843" s="340"/>
      <c r="P843" s="340"/>
      <c r="U843" s="340"/>
      <c r="V843" s="340"/>
      <c r="Z843" s="340"/>
      <c r="AE843" s="340"/>
      <c r="AI843" s="340"/>
      <c r="AN843" s="340"/>
      <c r="AO843" s="340"/>
      <c r="AS843" s="340"/>
      <c r="AX843" s="340"/>
      <c r="BB843" s="340"/>
      <c r="BD843" s="339"/>
    </row>
    <row r="844" spans="7:56" s="338" customFormat="1">
      <c r="G844" s="340"/>
      <c r="L844" s="340"/>
      <c r="P844" s="340"/>
      <c r="U844" s="340"/>
      <c r="V844" s="340"/>
      <c r="Z844" s="340"/>
      <c r="AE844" s="340"/>
      <c r="AI844" s="340"/>
      <c r="AN844" s="340"/>
      <c r="AO844" s="340"/>
      <c r="AS844" s="340"/>
      <c r="AX844" s="340"/>
      <c r="BB844" s="340"/>
      <c r="BD844" s="339"/>
    </row>
    <row r="845" spans="7:56" s="338" customFormat="1">
      <c r="G845" s="340"/>
      <c r="L845" s="340"/>
      <c r="P845" s="340"/>
      <c r="U845" s="340"/>
      <c r="V845" s="340"/>
      <c r="Z845" s="340"/>
      <c r="AE845" s="340"/>
      <c r="AI845" s="340"/>
      <c r="AN845" s="340"/>
      <c r="AO845" s="340"/>
      <c r="AS845" s="340"/>
      <c r="AX845" s="340"/>
      <c r="BB845" s="340"/>
      <c r="BD845" s="339"/>
    </row>
    <row r="846" spans="7:56" s="338" customFormat="1">
      <c r="G846" s="340"/>
      <c r="L846" s="340"/>
      <c r="P846" s="340"/>
      <c r="U846" s="340"/>
      <c r="V846" s="340"/>
      <c r="Z846" s="340"/>
      <c r="AE846" s="340"/>
      <c r="AI846" s="340"/>
      <c r="AN846" s="340"/>
      <c r="AO846" s="340"/>
      <c r="AS846" s="340"/>
      <c r="AX846" s="340"/>
      <c r="BB846" s="340"/>
      <c r="BD846" s="339"/>
    </row>
    <row r="847" spans="7:56" s="338" customFormat="1">
      <c r="G847" s="340"/>
      <c r="L847" s="340"/>
      <c r="P847" s="340"/>
      <c r="U847" s="340"/>
      <c r="V847" s="340"/>
      <c r="Z847" s="340"/>
      <c r="AE847" s="340"/>
      <c r="AI847" s="340"/>
      <c r="AN847" s="340"/>
      <c r="AO847" s="340"/>
      <c r="AS847" s="340"/>
      <c r="AX847" s="340"/>
      <c r="BB847" s="340"/>
      <c r="BD847" s="339"/>
    </row>
    <row r="848" spans="7:56" s="338" customFormat="1">
      <c r="G848" s="340"/>
      <c r="L848" s="340"/>
      <c r="P848" s="340"/>
      <c r="U848" s="340"/>
      <c r="V848" s="340"/>
      <c r="Z848" s="340"/>
      <c r="AE848" s="340"/>
      <c r="AI848" s="340"/>
      <c r="AN848" s="340"/>
      <c r="AO848" s="340"/>
      <c r="AS848" s="340"/>
      <c r="AX848" s="340"/>
      <c r="BB848" s="340"/>
      <c r="BD848" s="339"/>
    </row>
    <row r="849" spans="7:56" s="338" customFormat="1">
      <c r="G849" s="340"/>
      <c r="L849" s="340"/>
      <c r="P849" s="340"/>
      <c r="U849" s="340"/>
      <c r="V849" s="340"/>
      <c r="Z849" s="340"/>
      <c r="AE849" s="340"/>
      <c r="AI849" s="340"/>
      <c r="AN849" s="340"/>
      <c r="AO849" s="340"/>
      <c r="AS849" s="340"/>
      <c r="AX849" s="340"/>
      <c r="BB849" s="340"/>
      <c r="BD849" s="339"/>
    </row>
    <row r="850" spans="7:56" s="338" customFormat="1">
      <c r="G850" s="340"/>
      <c r="L850" s="340"/>
      <c r="P850" s="340"/>
      <c r="U850" s="340"/>
      <c r="V850" s="340"/>
      <c r="Z850" s="340"/>
      <c r="AE850" s="340"/>
      <c r="AI850" s="340"/>
      <c r="AN850" s="340"/>
      <c r="AO850" s="340"/>
      <c r="AS850" s="340"/>
      <c r="AX850" s="340"/>
      <c r="BB850" s="340"/>
      <c r="BD850" s="339"/>
    </row>
    <row r="851" spans="7:56" s="338" customFormat="1">
      <c r="G851" s="340"/>
      <c r="L851" s="340"/>
      <c r="P851" s="340"/>
      <c r="U851" s="340"/>
      <c r="V851" s="340"/>
      <c r="Z851" s="340"/>
      <c r="AE851" s="340"/>
      <c r="AI851" s="340"/>
      <c r="AN851" s="340"/>
      <c r="AO851" s="340"/>
      <c r="AS851" s="340"/>
      <c r="AX851" s="340"/>
      <c r="BB851" s="340"/>
      <c r="BD851" s="339"/>
    </row>
    <row r="852" spans="7:56" s="338" customFormat="1">
      <c r="G852" s="340"/>
      <c r="L852" s="340"/>
      <c r="P852" s="340"/>
      <c r="U852" s="340"/>
      <c r="V852" s="340"/>
      <c r="Z852" s="340"/>
      <c r="AE852" s="340"/>
      <c r="AI852" s="340"/>
      <c r="AN852" s="340"/>
      <c r="AO852" s="340"/>
      <c r="AS852" s="340"/>
      <c r="AX852" s="340"/>
      <c r="BB852" s="340"/>
      <c r="BD852" s="339"/>
    </row>
    <row r="853" spans="7:56" s="338" customFormat="1">
      <c r="G853" s="340"/>
      <c r="L853" s="340"/>
      <c r="P853" s="340"/>
      <c r="U853" s="340"/>
      <c r="V853" s="340"/>
      <c r="Z853" s="340"/>
      <c r="AE853" s="340"/>
      <c r="AI853" s="340"/>
      <c r="AN853" s="340"/>
      <c r="AO853" s="340"/>
      <c r="AS853" s="340"/>
      <c r="AX853" s="340"/>
      <c r="BB853" s="340"/>
      <c r="BD853" s="339"/>
    </row>
    <row r="854" spans="7:56" s="338" customFormat="1">
      <c r="G854" s="340"/>
      <c r="L854" s="340"/>
      <c r="P854" s="340"/>
      <c r="U854" s="340"/>
      <c r="V854" s="340"/>
      <c r="Z854" s="340"/>
      <c r="AE854" s="340"/>
      <c r="AI854" s="340"/>
      <c r="AN854" s="340"/>
      <c r="AO854" s="340"/>
      <c r="AS854" s="340"/>
      <c r="AX854" s="340"/>
      <c r="BB854" s="340"/>
      <c r="BD854" s="339"/>
    </row>
    <row r="855" spans="7:56" s="338" customFormat="1">
      <c r="G855" s="340"/>
      <c r="L855" s="340"/>
      <c r="P855" s="340"/>
      <c r="U855" s="340"/>
      <c r="V855" s="340"/>
      <c r="Z855" s="340"/>
      <c r="AE855" s="340"/>
      <c r="AI855" s="340"/>
      <c r="AN855" s="340"/>
      <c r="AO855" s="340"/>
      <c r="AS855" s="340"/>
      <c r="AX855" s="340"/>
      <c r="BB855" s="340"/>
      <c r="BD855" s="339"/>
    </row>
    <row r="856" spans="7:56" s="338" customFormat="1">
      <c r="G856" s="340"/>
      <c r="L856" s="340"/>
      <c r="P856" s="340"/>
      <c r="U856" s="340"/>
      <c r="V856" s="340"/>
      <c r="Z856" s="340"/>
      <c r="AE856" s="340"/>
      <c r="AI856" s="340"/>
      <c r="AN856" s="340"/>
      <c r="AO856" s="340"/>
      <c r="AS856" s="340"/>
      <c r="AX856" s="340"/>
      <c r="BB856" s="340"/>
      <c r="BD856" s="339"/>
    </row>
    <row r="857" spans="7:56" s="338" customFormat="1">
      <c r="G857" s="340"/>
      <c r="L857" s="340"/>
      <c r="P857" s="340"/>
      <c r="U857" s="340"/>
      <c r="V857" s="340"/>
      <c r="Z857" s="340"/>
      <c r="AE857" s="340"/>
      <c r="AI857" s="340"/>
      <c r="AN857" s="340"/>
      <c r="AO857" s="340"/>
      <c r="AS857" s="340"/>
      <c r="AX857" s="340"/>
      <c r="BB857" s="340"/>
      <c r="BD857" s="339"/>
    </row>
    <row r="858" spans="7:56" s="338" customFormat="1">
      <c r="G858" s="340"/>
      <c r="L858" s="340"/>
      <c r="P858" s="340"/>
      <c r="U858" s="340"/>
      <c r="V858" s="340"/>
      <c r="Z858" s="340"/>
      <c r="AE858" s="340"/>
      <c r="AI858" s="340"/>
      <c r="AN858" s="340"/>
      <c r="AO858" s="340"/>
      <c r="AS858" s="340"/>
      <c r="AX858" s="340"/>
      <c r="BB858" s="340"/>
      <c r="BD858" s="339"/>
    </row>
    <row r="859" spans="7:56" s="338" customFormat="1">
      <c r="G859" s="340"/>
      <c r="L859" s="340"/>
      <c r="P859" s="340"/>
      <c r="U859" s="340"/>
      <c r="V859" s="340"/>
      <c r="Z859" s="340"/>
      <c r="AE859" s="340"/>
      <c r="AI859" s="340"/>
      <c r="AN859" s="340"/>
      <c r="AO859" s="340"/>
      <c r="AS859" s="340"/>
      <c r="AX859" s="340"/>
      <c r="BB859" s="340"/>
      <c r="BD859" s="339"/>
    </row>
    <row r="860" spans="7:56" s="338" customFormat="1">
      <c r="G860" s="340"/>
      <c r="L860" s="340"/>
      <c r="P860" s="340"/>
      <c r="U860" s="340"/>
      <c r="V860" s="340"/>
      <c r="Z860" s="340"/>
      <c r="AE860" s="340"/>
      <c r="AI860" s="340"/>
      <c r="AN860" s="340"/>
      <c r="AO860" s="340"/>
      <c r="AS860" s="340"/>
      <c r="AX860" s="340"/>
      <c r="BB860" s="340"/>
      <c r="BD860" s="339"/>
    </row>
    <row r="861" spans="7:56" s="338" customFormat="1">
      <c r="G861" s="340"/>
      <c r="L861" s="340"/>
      <c r="P861" s="340"/>
      <c r="U861" s="340"/>
      <c r="V861" s="340"/>
      <c r="Z861" s="340"/>
      <c r="AE861" s="340"/>
      <c r="AI861" s="340"/>
      <c r="AN861" s="340"/>
      <c r="AO861" s="340"/>
      <c r="AS861" s="340"/>
      <c r="AX861" s="340"/>
      <c r="BB861" s="340"/>
      <c r="BD861" s="339"/>
    </row>
    <row r="862" spans="7:56" s="338" customFormat="1">
      <c r="G862" s="340"/>
      <c r="L862" s="340"/>
      <c r="P862" s="340"/>
      <c r="U862" s="340"/>
      <c r="V862" s="340"/>
      <c r="Z862" s="340"/>
      <c r="AE862" s="340"/>
      <c r="AI862" s="340"/>
      <c r="AN862" s="340"/>
      <c r="AO862" s="340"/>
      <c r="AS862" s="340"/>
      <c r="AX862" s="340"/>
      <c r="BB862" s="340"/>
      <c r="BD862" s="339"/>
    </row>
    <row r="863" spans="7:56" s="338" customFormat="1">
      <c r="G863" s="340"/>
      <c r="L863" s="340"/>
      <c r="P863" s="340"/>
      <c r="U863" s="340"/>
      <c r="V863" s="340"/>
      <c r="Z863" s="340"/>
      <c r="AE863" s="340"/>
      <c r="AI863" s="340"/>
      <c r="AN863" s="340"/>
      <c r="AO863" s="340"/>
      <c r="AS863" s="340"/>
      <c r="AX863" s="340"/>
      <c r="BB863" s="340"/>
      <c r="BD863" s="339"/>
    </row>
    <row r="864" spans="7:56" s="338" customFormat="1">
      <c r="G864" s="340"/>
      <c r="L864" s="340"/>
      <c r="P864" s="340"/>
      <c r="U864" s="340"/>
      <c r="V864" s="340"/>
      <c r="Z864" s="340"/>
      <c r="AE864" s="340"/>
      <c r="AI864" s="340"/>
      <c r="AN864" s="340"/>
      <c r="AO864" s="340"/>
      <c r="AS864" s="340"/>
      <c r="AX864" s="340"/>
      <c r="BB864" s="340"/>
      <c r="BD864" s="339"/>
    </row>
    <row r="865" spans="7:56" s="338" customFormat="1">
      <c r="G865" s="340"/>
      <c r="L865" s="340"/>
      <c r="P865" s="340"/>
      <c r="U865" s="340"/>
      <c r="V865" s="340"/>
      <c r="Z865" s="340"/>
      <c r="AE865" s="340"/>
      <c r="AI865" s="340"/>
      <c r="AN865" s="340"/>
      <c r="AO865" s="340"/>
      <c r="AS865" s="340"/>
      <c r="AX865" s="340"/>
      <c r="BB865" s="340"/>
      <c r="BD865" s="339"/>
    </row>
    <row r="866" spans="7:56" s="338" customFormat="1">
      <c r="G866" s="340"/>
      <c r="L866" s="340"/>
      <c r="P866" s="340"/>
      <c r="U866" s="340"/>
      <c r="V866" s="340"/>
      <c r="Z866" s="340"/>
      <c r="AE866" s="340"/>
      <c r="AI866" s="340"/>
      <c r="AN866" s="340"/>
      <c r="AO866" s="340"/>
      <c r="AS866" s="340"/>
      <c r="AX866" s="340"/>
      <c r="BB866" s="340"/>
      <c r="BD866" s="339"/>
    </row>
    <row r="867" spans="7:56" s="338" customFormat="1">
      <c r="G867" s="340"/>
      <c r="L867" s="340"/>
      <c r="P867" s="340"/>
      <c r="U867" s="340"/>
      <c r="V867" s="340"/>
      <c r="Z867" s="340"/>
      <c r="AE867" s="340"/>
      <c r="AI867" s="340"/>
      <c r="AN867" s="340"/>
      <c r="AO867" s="340"/>
      <c r="AS867" s="340"/>
      <c r="AX867" s="340"/>
      <c r="BB867" s="340"/>
      <c r="BD867" s="339"/>
    </row>
    <row r="868" spans="7:56" s="338" customFormat="1">
      <c r="G868" s="340"/>
      <c r="L868" s="340"/>
      <c r="P868" s="340"/>
      <c r="U868" s="340"/>
      <c r="V868" s="340"/>
      <c r="Z868" s="340"/>
      <c r="AE868" s="340"/>
      <c r="AI868" s="340"/>
      <c r="AN868" s="340"/>
      <c r="AO868" s="340"/>
      <c r="AS868" s="340"/>
      <c r="AX868" s="340"/>
      <c r="BB868" s="340"/>
      <c r="BD868" s="339"/>
    </row>
    <row r="869" spans="7:56" s="338" customFormat="1">
      <c r="G869" s="340"/>
      <c r="L869" s="340"/>
      <c r="P869" s="340"/>
      <c r="U869" s="340"/>
      <c r="V869" s="340"/>
      <c r="Z869" s="340"/>
      <c r="AE869" s="340"/>
      <c r="AI869" s="340"/>
      <c r="AN869" s="340"/>
      <c r="AO869" s="340"/>
      <c r="AS869" s="340"/>
      <c r="AX869" s="340"/>
      <c r="BB869" s="340"/>
      <c r="BD869" s="339"/>
    </row>
    <row r="870" spans="7:56" s="338" customFormat="1">
      <c r="G870" s="340"/>
      <c r="L870" s="340"/>
      <c r="P870" s="340"/>
      <c r="U870" s="340"/>
      <c r="V870" s="340"/>
      <c r="Z870" s="340"/>
      <c r="AE870" s="340"/>
      <c r="AI870" s="340"/>
      <c r="AN870" s="340"/>
      <c r="AO870" s="340"/>
      <c r="AS870" s="340"/>
      <c r="AX870" s="340"/>
      <c r="BB870" s="340"/>
      <c r="BD870" s="339"/>
    </row>
    <row r="871" spans="7:56" s="338" customFormat="1">
      <c r="G871" s="340"/>
      <c r="L871" s="340"/>
      <c r="P871" s="340"/>
      <c r="U871" s="340"/>
      <c r="V871" s="340"/>
      <c r="Z871" s="340"/>
      <c r="AE871" s="340"/>
      <c r="AI871" s="340"/>
      <c r="AN871" s="340"/>
      <c r="AO871" s="340"/>
      <c r="AS871" s="340"/>
      <c r="AX871" s="340"/>
      <c r="BB871" s="340"/>
      <c r="BD871" s="339"/>
    </row>
    <row r="872" spans="7:56" s="338" customFormat="1">
      <c r="G872" s="340"/>
      <c r="L872" s="340"/>
      <c r="P872" s="340"/>
      <c r="U872" s="340"/>
      <c r="V872" s="340"/>
      <c r="Z872" s="340"/>
      <c r="AE872" s="340"/>
      <c r="AI872" s="340"/>
      <c r="AN872" s="340"/>
      <c r="AO872" s="340"/>
      <c r="AS872" s="340"/>
      <c r="AX872" s="340"/>
      <c r="BB872" s="340"/>
      <c r="BD872" s="339"/>
    </row>
    <row r="873" spans="7:56" s="338" customFormat="1">
      <c r="G873" s="340"/>
      <c r="L873" s="340"/>
      <c r="P873" s="340"/>
      <c r="U873" s="340"/>
      <c r="V873" s="340"/>
      <c r="Z873" s="340"/>
      <c r="AE873" s="340"/>
      <c r="AI873" s="340"/>
      <c r="AN873" s="340"/>
      <c r="AO873" s="340"/>
      <c r="AS873" s="340"/>
      <c r="AX873" s="340"/>
      <c r="BB873" s="340"/>
      <c r="BD873" s="339"/>
    </row>
    <row r="874" spans="7:56" s="338" customFormat="1">
      <c r="G874" s="340"/>
      <c r="L874" s="340"/>
      <c r="P874" s="340"/>
      <c r="U874" s="340"/>
      <c r="V874" s="340"/>
      <c r="Z874" s="340"/>
      <c r="AE874" s="340"/>
      <c r="AI874" s="340"/>
      <c r="AN874" s="340"/>
      <c r="AO874" s="340"/>
      <c r="AS874" s="340"/>
      <c r="AX874" s="340"/>
      <c r="BB874" s="340"/>
      <c r="BD874" s="339"/>
    </row>
    <row r="875" spans="7:56" s="338" customFormat="1">
      <c r="G875" s="340"/>
      <c r="L875" s="340"/>
      <c r="P875" s="340"/>
      <c r="U875" s="340"/>
      <c r="V875" s="340"/>
      <c r="Z875" s="340"/>
      <c r="AE875" s="340"/>
      <c r="AI875" s="340"/>
      <c r="AN875" s="340"/>
      <c r="AO875" s="340"/>
      <c r="AS875" s="340"/>
      <c r="AX875" s="340"/>
      <c r="BB875" s="340"/>
      <c r="BD875" s="339"/>
    </row>
    <row r="876" spans="7:56" s="338" customFormat="1">
      <c r="G876" s="340"/>
      <c r="L876" s="340"/>
      <c r="P876" s="340"/>
      <c r="U876" s="340"/>
      <c r="V876" s="340"/>
      <c r="Z876" s="340"/>
      <c r="AE876" s="340"/>
      <c r="AI876" s="340"/>
      <c r="AN876" s="340"/>
      <c r="AO876" s="340"/>
      <c r="AS876" s="340"/>
      <c r="AX876" s="340"/>
      <c r="BB876" s="340"/>
      <c r="BD876" s="339"/>
    </row>
    <row r="877" spans="7:56" s="338" customFormat="1">
      <c r="G877" s="340"/>
      <c r="L877" s="340"/>
      <c r="P877" s="340"/>
      <c r="U877" s="340"/>
      <c r="V877" s="340"/>
      <c r="Z877" s="340"/>
      <c r="AE877" s="340"/>
      <c r="AI877" s="340"/>
      <c r="AN877" s="340"/>
      <c r="AO877" s="340"/>
      <c r="AS877" s="340"/>
      <c r="AX877" s="340"/>
      <c r="BB877" s="340"/>
      <c r="BD877" s="339"/>
    </row>
    <row r="878" spans="7:56" s="338" customFormat="1">
      <c r="G878" s="340"/>
      <c r="L878" s="340"/>
      <c r="P878" s="340"/>
      <c r="U878" s="340"/>
      <c r="V878" s="340"/>
      <c r="Z878" s="340"/>
      <c r="AE878" s="340"/>
      <c r="AI878" s="340"/>
      <c r="AN878" s="340"/>
      <c r="AO878" s="340"/>
      <c r="AS878" s="340"/>
      <c r="AX878" s="340"/>
      <c r="BB878" s="340"/>
      <c r="BD878" s="339"/>
    </row>
    <row r="879" spans="7:56" s="338" customFormat="1">
      <c r="G879" s="340"/>
      <c r="L879" s="340"/>
      <c r="P879" s="340"/>
      <c r="U879" s="340"/>
      <c r="V879" s="340"/>
      <c r="Z879" s="340"/>
      <c r="AE879" s="340"/>
      <c r="AI879" s="340"/>
      <c r="AN879" s="340"/>
      <c r="AO879" s="340"/>
      <c r="AS879" s="340"/>
      <c r="AX879" s="340"/>
      <c r="BB879" s="340"/>
      <c r="BD879" s="339"/>
    </row>
    <row r="880" spans="7:56" s="338" customFormat="1">
      <c r="G880" s="340"/>
      <c r="L880" s="340"/>
      <c r="P880" s="340"/>
      <c r="U880" s="340"/>
      <c r="V880" s="340"/>
      <c r="Z880" s="340"/>
      <c r="AE880" s="340"/>
      <c r="AI880" s="340"/>
      <c r="AN880" s="340"/>
      <c r="AO880" s="340"/>
      <c r="AS880" s="340"/>
      <c r="AX880" s="340"/>
      <c r="BB880" s="340"/>
      <c r="BD880" s="339"/>
    </row>
    <row r="881" spans="7:56" s="338" customFormat="1">
      <c r="G881" s="340"/>
      <c r="L881" s="340"/>
      <c r="P881" s="340"/>
      <c r="U881" s="340"/>
      <c r="V881" s="340"/>
      <c r="Z881" s="340"/>
      <c r="AE881" s="340"/>
      <c r="AI881" s="340"/>
      <c r="AN881" s="340"/>
      <c r="AO881" s="340"/>
      <c r="AS881" s="340"/>
      <c r="AX881" s="340"/>
      <c r="BB881" s="340"/>
      <c r="BD881" s="339"/>
    </row>
    <row r="882" spans="7:56" s="338" customFormat="1">
      <c r="G882" s="340"/>
      <c r="L882" s="340"/>
      <c r="P882" s="340"/>
      <c r="U882" s="340"/>
      <c r="V882" s="340"/>
      <c r="Z882" s="340"/>
      <c r="AE882" s="340"/>
      <c r="AI882" s="340"/>
      <c r="AN882" s="340"/>
      <c r="AO882" s="340"/>
      <c r="AS882" s="340"/>
      <c r="AX882" s="340"/>
      <c r="BB882" s="340"/>
      <c r="BD882" s="339"/>
    </row>
    <row r="883" spans="7:56" s="338" customFormat="1">
      <c r="G883" s="340"/>
      <c r="L883" s="340"/>
      <c r="P883" s="340"/>
      <c r="U883" s="340"/>
      <c r="V883" s="340"/>
      <c r="Z883" s="340"/>
      <c r="AE883" s="340"/>
      <c r="AI883" s="340"/>
      <c r="AN883" s="340"/>
      <c r="AO883" s="340"/>
      <c r="AS883" s="340"/>
      <c r="AX883" s="340"/>
      <c r="BB883" s="340"/>
      <c r="BD883" s="339"/>
    </row>
    <row r="884" spans="7:56" s="338" customFormat="1">
      <c r="G884" s="340"/>
      <c r="L884" s="340"/>
      <c r="P884" s="340"/>
      <c r="U884" s="340"/>
      <c r="V884" s="340"/>
      <c r="Z884" s="340"/>
      <c r="AE884" s="340"/>
      <c r="AI884" s="340"/>
      <c r="AN884" s="340"/>
      <c r="AO884" s="340"/>
      <c r="AS884" s="340"/>
      <c r="AX884" s="340"/>
      <c r="BB884" s="340"/>
      <c r="BD884" s="339"/>
    </row>
    <row r="885" spans="7:56" s="338" customFormat="1">
      <c r="G885" s="340"/>
      <c r="L885" s="340"/>
      <c r="P885" s="340"/>
      <c r="U885" s="340"/>
      <c r="V885" s="340"/>
      <c r="Z885" s="340"/>
      <c r="AE885" s="340"/>
      <c r="AI885" s="340"/>
      <c r="AN885" s="340"/>
      <c r="AO885" s="340"/>
      <c r="AS885" s="340"/>
      <c r="AX885" s="340"/>
      <c r="BB885" s="340"/>
      <c r="BD885" s="339"/>
    </row>
    <row r="886" spans="7:56" s="338" customFormat="1">
      <c r="G886" s="340"/>
      <c r="L886" s="340"/>
      <c r="P886" s="340"/>
      <c r="U886" s="340"/>
      <c r="V886" s="340"/>
      <c r="Z886" s="340"/>
      <c r="AE886" s="340"/>
      <c r="AI886" s="340"/>
      <c r="AN886" s="340"/>
      <c r="AO886" s="340"/>
      <c r="AS886" s="340"/>
      <c r="AX886" s="340"/>
      <c r="BB886" s="340"/>
      <c r="BD886" s="339"/>
    </row>
    <row r="887" spans="7:56" s="338" customFormat="1">
      <c r="G887" s="340"/>
      <c r="L887" s="340"/>
      <c r="P887" s="340"/>
      <c r="U887" s="340"/>
      <c r="V887" s="340"/>
      <c r="Z887" s="340"/>
      <c r="AE887" s="340"/>
      <c r="AI887" s="340"/>
      <c r="AN887" s="340"/>
      <c r="AO887" s="340"/>
      <c r="AS887" s="340"/>
      <c r="AX887" s="340"/>
      <c r="BB887" s="340"/>
      <c r="BD887" s="339"/>
    </row>
    <row r="888" spans="7:56" s="338" customFormat="1">
      <c r="G888" s="340"/>
      <c r="L888" s="340"/>
      <c r="P888" s="340"/>
      <c r="U888" s="340"/>
      <c r="V888" s="340"/>
      <c r="Z888" s="340"/>
      <c r="AE888" s="340"/>
      <c r="AI888" s="340"/>
      <c r="AN888" s="340"/>
      <c r="AO888" s="340"/>
      <c r="AS888" s="340"/>
      <c r="AX888" s="340"/>
      <c r="BB888" s="340"/>
      <c r="BD888" s="339"/>
    </row>
    <row r="889" spans="7:56" s="338" customFormat="1">
      <c r="G889" s="340"/>
      <c r="L889" s="340"/>
      <c r="P889" s="340"/>
      <c r="U889" s="340"/>
      <c r="V889" s="340"/>
      <c r="Z889" s="340"/>
      <c r="AE889" s="340"/>
      <c r="AI889" s="340"/>
      <c r="AN889" s="340"/>
      <c r="AO889" s="340"/>
      <c r="AS889" s="340"/>
      <c r="AX889" s="340"/>
      <c r="BB889" s="340"/>
      <c r="BD889" s="339"/>
    </row>
    <row r="890" spans="7:56" s="338" customFormat="1">
      <c r="G890" s="340"/>
      <c r="L890" s="340"/>
      <c r="P890" s="340"/>
      <c r="U890" s="340"/>
      <c r="V890" s="340"/>
      <c r="Z890" s="340"/>
      <c r="AE890" s="340"/>
      <c r="AI890" s="340"/>
      <c r="AN890" s="340"/>
      <c r="AO890" s="340"/>
      <c r="AS890" s="340"/>
      <c r="AX890" s="340"/>
      <c r="BB890" s="340"/>
      <c r="BD890" s="339"/>
    </row>
    <row r="891" spans="7:56" s="338" customFormat="1">
      <c r="G891" s="340"/>
      <c r="L891" s="340"/>
      <c r="P891" s="340"/>
      <c r="U891" s="340"/>
      <c r="V891" s="340"/>
      <c r="Z891" s="340"/>
      <c r="AE891" s="340"/>
      <c r="AI891" s="340"/>
      <c r="AN891" s="340"/>
      <c r="AO891" s="340"/>
      <c r="AS891" s="340"/>
      <c r="AX891" s="340"/>
      <c r="BB891" s="340"/>
      <c r="BD891" s="339"/>
    </row>
    <row r="892" spans="7:56" s="338" customFormat="1">
      <c r="G892" s="340"/>
      <c r="L892" s="340"/>
      <c r="P892" s="340"/>
      <c r="U892" s="340"/>
      <c r="V892" s="340"/>
      <c r="Z892" s="340"/>
      <c r="AE892" s="340"/>
      <c r="AI892" s="340"/>
      <c r="AN892" s="340"/>
      <c r="AO892" s="340"/>
      <c r="AS892" s="340"/>
      <c r="AX892" s="340"/>
      <c r="BB892" s="340"/>
      <c r="BD892" s="339"/>
    </row>
    <row r="893" spans="7:56" s="338" customFormat="1">
      <c r="G893" s="340"/>
      <c r="L893" s="340"/>
      <c r="P893" s="340"/>
      <c r="U893" s="340"/>
      <c r="V893" s="340"/>
      <c r="Z893" s="340"/>
      <c r="AE893" s="340"/>
      <c r="AI893" s="340"/>
      <c r="AN893" s="340"/>
      <c r="AO893" s="340"/>
      <c r="AS893" s="340"/>
      <c r="AX893" s="340"/>
      <c r="BB893" s="340"/>
      <c r="BD893" s="339"/>
    </row>
    <row r="894" spans="7:56" s="338" customFormat="1">
      <c r="G894" s="340"/>
      <c r="L894" s="340"/>
      <c r="P894" s="340"/>
      <c r="U894" s="340"/>
      <c r="V894" s="340"/>
      <c r="Z894" s="340"/>
      <c r="AE894" s="340"/>
      <c r="AI894" s="340"/>
      <c r="AN894" s="340"/>
      <c r="AO894" s="340"/>
      <c r="AS894" s="340"/>
      <c r="AX894" s="340"/>
      <c r="BB894" s="340"/>
      <c r="BD894" s="339"/>
    </row>
    <row r="895" spans="7:56" s="338" customFormat="1">
      <c r="G895" s="340"/>
      <c r="L895" s="340"/>
      <c r="P895" s="340"/>
      <c r="U895" s="340"/>
      <c r="V895" s="340"/>
      <c r="Z895" s="340"/>
      <c r="AE895" s="340"/>
      <c r="AI895" s="340"/>
      <c r="AN895" s="340"/>
      <c r="AO895" s="340"/>
      <c r="AS895" s="340"/>
      <c r="AX895" s="340"/>
      <c r="BB895" s="340"/>
      <c r="BD895" s="339"/>
    </row>
    <row r="896" spans="7:56" s="338" customFormat="1">
      <c r="G896" s="340"/>
      <c r="L896" s="340"/>
      <c r="P896" s="340"/>
      <c r="U896" s="340"/>
      <c r="V896" s="340"/>
      <c r="Z896" s="340"/>
      <c r="AE896" s="340"/>
      <c r="AI896" s="340"/>
      <c r="AN896" s="340"/>
      <c r="AO896" s="340"/>
      <c r="AS896" s="340"/>
      <c r="AX896" s="340"/>
      <c r="BB896" s="340"/>
      <c r="BD896" s="339"/>
    </row>
    <row r="897" spans="7:56" s="338" customFormat="1">
      <c r="G897" s="340"/>
      <c r="L897" s="340"/>
      <c r="P897" s="340"/>
      <c r="U897" s="340"/>
      <c r="V897" s="340"/>
      <c r="Z897" s="340"/>
      <c r="AE897" s="340"/>
      <c r="AI897" s="340"/>
      <c r="AN897" s="340"/>
      <c r="AO897" s="340"/>
      <c r="AS897" s="340"/>
      <c r="AX897" s="340"/>
      <c r="BB897" s="340"/>
      <c r="BD897" s="339"/>
    </row>
    <row r="898" spans="7:56" s="338" customFormat="1">
      <c r="G898" s="340"/>
      <c r="L898" s="340"/>
      <c r="P898" s="340"/>
      <c r="U898" s="340"/>
      <c r="V898" s="340"/>
      <c r="Z898" s="340"/>
      <c r="AE898" s="340"/>
      <c r="AI898" s="340"/>
      <c r="AN898" s="340"/>
      <c r="AO898" s="340"/>
      <c r="AS898" s="340"/>
      <c r="AX898" s="340"/>
      <c r="BB898" s="340"/>
      <c r="BD898" s="339"/>
    </row>
    <row r="899" spans="7:56" s="338" customFormat="1">
      <c r="G899" s="340"/>
      <c r="L899" s="340"/>
      <c r="P899" s="340"/>
      <c r="U899" s="340"/>
      <c r="V899" s="340"/>
      <c r="Z899" s="340"/>
      <c r="AE899" s="340"/>
      <c r="AI899" s="340"/>
      <c r="AN899" s="340"/>
      <c r="AO899" s="340"/>
      <c r="AS899" s="340"/>
      <c r="AX899" s="340"/>
      <c r="BB899" s="340"/>
      <c r="BD899" s="339"/>
    </row>
    <row r="900" spans="7:56" s="338" customFormat="1">
      <c r="G900" s="340"/>
      <c r="L900" s="340"/>
      <c r="P900" s="340"/>
      <c r="U900" s="340"/>
      <c r="V900" s="340"/>
      <c r="Z900" s="340"/>
      <c r="AE900" s="340"/>
      <c r="AI900" s="340"/>
      <c r="AN900" s="340"/>
      <c r="AO900" s="340"/>
      <c r="AS900" s="340"/>
      <c r="AX900" s="340"/>
      <c r="BB900" s="340"/>
      <c r="BD900" s="339"/>
    </row>
    <row r="901" spans="7:56" s="338" customFormat="1">
      <c r="G901" s="340"/>
      <c r="L901" s="340"/>
      <c r="P901" s="340"/>
      <c r="U901" s="340"/>
      <c r="V901" s="340"/>
      <c r="Z901" s="340"/>
      <c r="AE901" s="340"/>
      <c r="AI901" s="340"/>
      <c r="AN901" s="340"/>
      <c r="AO901" s="340"/>
      <c r="AS901" s="340"/>
      <c r="AX901" s="340"/>
      <c r="BB901" s="340"/>
      <c r="BD901" s="339"/>
    </row>
    <row r="902" spans="7:56" s="338" customFormat="1">
      <c r="G902" s="340"/>
      <c r="L902" s="340"/>
      <c r="P902" s="340"/>
      <c r="U902" s="340"/>
      <c r="V902" s="340"/>
      <c r="Z902" s="340"/>
      <c r="AE902" s="340"/>
      <c r="AI902" s="340"/>
      <c r="AN902" s="340"/>
      <c r="AO902" s="340"/>
      <c r="AS902" s="340"/>
      <c r="AX902" s="340"/>
      <c r="BB902" s="340"/>
      <c r="BD902" s="339"/>
    </row>
    <row r="903" spans="7:56" s="338" customFormat="1">
      <c r="G903" s="340"/>
      <c r="L903" s="340"/>
      <c r="P903" s="340"/>
      <c r="U903" s="340"/>
      <c r="V903" s="340"/>
      <c r="Z903" s="340"/>
      <c r="AE903" s="340"/>
      <c r="AI903" s="340"/>
      <c r="AN903" s="340"/>
      <c r="AO903" s="340"/>
      <c r="AS903" s="340"/>
      <c r="AX903" s="340"/>
      <c r="BB903" s="340"/>
      <c r="BD903" s="339"/>
    </row>
    <row r="904" spans="7:56" s="338" customFormat="1">
      <c r="G904" s="340"/>
      <c r="L904" s="340"/>
      <c r="P904" s="340"/>
      <c r="U904" s="340"/>
      <c r="V904" s="340"/>
      <c r="Z904" s="340"/>
      <c r="AE904" s="340"/>
      <c r="AI904" s="340"/>
      <c r="AN904" s="340"/>
      <c r="AO904" s="340"/>
      <c r="AS904" s="340"/>
      <c r="AX904" s="340"/>
      <c r="BB904" s="340"/>
      <c r="BD904" s="339"/>
    </row>
    <row r="905" spans="7:56" s="338" customFormat="1">
      <c r="G905" s="340"/>
      <c r="L905" s="340"/>
      <c r="P905" s="340"/>
      <c r="U905" s="340"/>
      <c r="V905" s="340"/>
      <c r="Z905" s="340"/>
      <c r="AE905" s="340"/>
      <c r="AI905" s="340"/>
      <c r="AN905" s="340"/>
      <c r="AO905" s="340"/>
      <c r="AS905" s="340"/>
      <c r="AX905" s="340"/>
      <c r="BB905" s="340"/>
      <c r="BD905" s="339"/>
    </row>
    <row r="906" spans="7:56" s="338" customFormat="1">
      <c r="G906" s="340"/>
      <c r="L906" s="340"/>
      <c r="P906" s="340"/>
      <c r="U906" s="340"/>
      <c r="V906" s="340"/>
      <c r="Z906" s="340"/>
      <c r="AE906" s="340"/>
      <c r="AI906" s="340"/>
      <c r="AN906" s="340"/>
      <c r="AO906" s="340"/>
      <c r="AS906" s="340"/>
      <c r="AX906" s="340"/>
      <c r="BB906" s="340"/>
      <c r="BD906" s="339"/>
    </row>
    <row r="907" spans="7:56" s="338" customFormat="1">
      <c r="G907" s="340"/>
      <c r="L907" s="340"/>
      <c r="P907" s="340"/>
      <c r="U907" s="340"/>
      <c r="V907" s="340"/>
      <c r="Z907" s="340"/>
      <c r="AE907" s="340"/>
      <c r="AI907" s="340"/>
      <c r="AN907" s="340"/>
      <c r="AO907" s="340"/>
      <c r="AS907" s="340"/>
      <c r="AX907" s="340"/>
      <c r="BB907" s="340"/>
      <c r="BD907" s="339"/>
    </row>
    <row r="908" spans="7:56" s="338" customFormat="1">
      <c r="G908" s="340"/>
      <c r="L908" s="340"/>
      <c r="P908" s="340"/>
      <c r="U908" s="340"/>
      <c r="V908" s="340"/>
      <c r="Z908" s="340"/>
      <c r="AE908" s="340"/>
      <c r="AI908" s="340"/>
      <c r="AN908" s="340"/>
      <c r="AO908" s="340"/>
      <c r="AS908" s="340"/>
      <c r="AX908" s="340"/>
      <c r="BB908" s="340"/>
      <c r="BD908" s="339"/>
    </row>
    <row r="909" spans="7:56" s="338" customFormat="1">
      <c r="G909" s="340"/>
      <c r="L909" s="340"/>
      <c r="P909" s="340"/>
      <c r="U909" s="340"/>
      <c r="V909" s="340"/>
      <c r="Z909" s="340"/>
      <c r="AE909" s="340"/>
      <c r="AI909" s="340"/>
      <c r="AN909" s="340"/>
      <c r="AO909" s="340"/>
      <c r="AS909" s="340"/>
      <c r="AX909" s="340"/>
      <c r="BB909" s="340"/>
      <c r="BD909" s="339"/>
    </row>
    <row r="910" spans="7:56" s="338" customFormat="1">
      <c r="G910" s="340"/>
      <c r="L910" s="340"/>
      <c r="P910" s="340"/>
      <c r="U910" s="340"/>
      <c r="V910" s="340"/>
      <c r="Z910" s="340"/>
      <c r="AE910" s="340"/>
      <c r="AI910" s="340"/>
      <c r="AN910" s="340"/>
      <c r="AO910" s="340"/>
      <c r="AS910" s="340"/>
      <c r="AX910" s="340"/>
      <c r="BB910" s="340"/>
      <c r="BD910" s="339"/>
    </row>
    <row r="911" spans="7:56" s="338" customFormat="1">
      <c r="G911" s="340"/>
      <c r="L911" s="340"/>
      <c r="P911" s="340"/>
      <c r="U911" s="340"/>
      <c r="V911" s="340"/>
      <c r="Z911" s="340"/>
      <c r="AE911" s="340"/>
      <c r="AI911" s="340"/>
      <c r="AN911" s="340"/>
      <c r="AO911" s="340"/>
      <c r="AS911" s="340"/>
      <c r="AX911" s="340"/>
      <c r="BB911" s="340"/>
      <c r="BD911" s="339"/>
    </row>
    <row r="912" spans="7:56" s="338" customFormat="1">
      <c r="G912" s="340"/>
      <c r="L912" s="340"/>
      <c r="P912" s="340"/>
      <c r="U912" s="340"/>
      <c r="V912" s="340"/>
      <c r="Z912" s="340"/>
      <c r="AE912" s="340"/>
      <c r="AI912" s="340"/>
      <c r="AN912" s="340"/>
      <c r="AO912" s="340"/>
      <c r="AS912" s="340"/>
      <c r="AX912" s="340"/>
      <c r="BB912" s="340"/>
      <c r="BD912" s="339"/>
    </row>
    <row r="913" spans="7:56" s="338" customFormat="1">
      <c r="G913" s="340"/>
      <c r="L913" s="340"/>
      <c r="P913" s="340"/>
      <c r="U913" s="340"/>
      <c r="V913" s="340"/>
      <c r="Z913" s="340"/>
      <c r="AE913" s="340"/>
      <c r="AI913" s="340"/>
      <c r="AN913" s="340"/>
      <c r="AO913" s="340"/>
      <c r="AS913" s="340"/>
      <c r="AX913" s="340"/>
      <c r="BB913" s="340"/>
      <c r="BD913" s="339"/>
    </row>
    <row r="914" spans="7:56" s="338" customFormat="1">
      <c r="G914" s="340"/>
      <c r="L914" s="340"/>
      <c r="P914" s="340"/>
      <c r="U914" s="340"/>
      <c r="V914" s="340"/>
      <c r="Z914" s="340"/>
      <c r="AE914" s="340"/>
      <c r="AI914" s="340"/>
      <c r="AN914" s="340"/>
      <c r="AO914" s="340"/>
      <c r="AS914" s="340"/>
      <c r="AX914" s="340"/>
      <c r="BB914" s="340"/>
      <c r="BD914" s="339"/>
    </row>
    <row r="915" spans="7:56" s="338" customFormat="1">
      <c r="G915" s="340"/>
      <c r="L915" s="340"/>
      <c r="P915" s="340"/>
      <c r="U915" s="340"/>
      <c r="V915" s="340"/>
      <c r="Z915" s="340"/>
      <c r="AE915" s="340"/>
      <c r="AI915" s="340"/>
      <c r="AN915" s="340"/>
      <c r="AO915" s="340"/>
      <c r="AS915" s="340"/>
      <c r="AX915" s="340"/>
      <c r="BB915" s="340"/>
      <c r="BD915" s="339"/>
    </row>
    <row r="916" spans="7:56" s="338" customFormat="1">
      <c r="G916" s="340"/>
      <c r="L916" s="340"/>
      <c r="P916" s="340"/>
      <c r="U916" s="340"/>
      <c r="V916" s="340"/>
      <c r="Z916" s="340"/>
      <c r="AE916" s="340"/>
      <c r="AI916" s="340"/>
      <c r="AN916" s="340"/>
      <c r="AO916" s="340"/>
      <c r="AS916" s="340"/>
      <c r="AX916" s="340"/>
      <c r="BB916" s="340"/>
      <c r="BD916" s="339"/>
    </row>
    <row r="917" spans="7:56" s="338" customFormat="1">
      <c r="G917" s="340"/>
      <c r="L917" s="340"/>
      <c r="P917" s="340"/>
      <c r="U917" s="340"/>
      <c r="V917" s="340"/>
      <c r="Z917" s="340"/>
      <c r="AE917" s="340"/>
      <c r="AI917" s="340"/>
      <c r="AN917" s="340"/>
      <c r="AO917" s="340"/>
      <c r="AS917" s="340"/>
      <c r="AX917" s="340"/>
      <c r="BB917" s="340"/>
      <c r="BD917" s="339"/>
    </row>
    <row r="918" spans="7:56" s="338" customFormat="1">
      <c r="G918" s="340"/>
      <c r="L918" s="340"/>
      <c r="P918" s="340"/>
      <c r="U918" s="340"/>
      <c r="V918" s="340"/>
      <c r="Z918" s="340"/>
      <c r="AE918" s="340"/>
      <c r="AI918" s="340"/>
      <c r="AN918" s="340"/>
      <c r="AO918" s="340"/>
      <c r="AS918" s="340"/>
      <c r="AX918" s="340"/>
      <c r="BB918" s="340"/>
      <c r="BD918" s="339"/>
    </row>
    <row r="919" spans="7:56" s="338" customFormat="1">
      <c r="G919" s="340"/>
      <c r="L919" s="340"/>
      <c r="P919" s="340"/>
      <c r="U919" s="340"/>
      <c r="V919" s="340"/>
      <c r="Z919" s="340"/>
      <c r="AE919" s="340"/>
      <c r="AI919" s="340"/>
      <c r="AN919" s="340"/>
      <c r="AO919" s="340"/>
      <c r="AS919" s="340"/>
      <c r="AX919" s="340"/>
      <c r="BB919" s="340"/>
      <c r="BD919" s="339"/>
    </row>
    <row r="920" spans="7:56" s="338" customFormat="1">
      <c r="G920" s="340"/>
      <c r="L920" s="340"/>
      <c r="P920" s="340"/>
      <c r="U920" s="340"/>
      <c r="V920" s="340"/>
      <c r="Z920" s="340"/>
      <c r="AE920" s="340"/>
      <c r="AI920" s="340"/>
      <c r="AN920" s="340"/>
      <c r="AO920" s="340"/>
      <c r="AS920" s="340"/>
      <c r="AX920" s="340"/>
      <c r="BB920" s="340"/>
      <c r="BD920" s="339"/>
    </row>
    <row r="921" spans="7:56" s="338" customFormat="1">
      <c r="G921" s="340"/>
      <c r="L921" s="340"/>
      <c r="P921" s="340"/>
      <c r="U921" s="340"/>
      <c r="V921" s="340"/>
      <c r="Z921" s="340"/>
      <c r="AE921" s="340"/>
      <c r="AI921" s="340"/>
      <c r="AN921" s="340"/>
      <c r="AO921" s="340"/>
      <c r="AS921" s="340"/>
      <c r="AX921" s="340"/>
      <c r="BB921" s="340"/>
      <c r="BD921" s="339"/>
    </row>
    <row r="922" spans="7:56" s="338" customFormat="1">
      <c r="G922" s="340"/>
      <c r="L922" s="340"/>
      <c r="P922" s="340"/>
      <c r="U922" s="340"/>
      <c r="V922" s="340"/>
      <c r="Z922" s="340"/>
      <c r="AE922" s="340"/>
      <c r="AI922" s="340"/>
      <c r="AN922" s="340"/>
      <c r="AO922" s="340"/>
      <c r="AS922" s="340"/>
      <c r="AX922" s="340"/>
      <c r="BB922" s="340"/>
      <c r="BD922" s="339"/>
    </row>
    <row r="923" spans="7:56" s="338" customFormat="1">
      <c r="G923" s="340"/>
      <c r="L923" s="340"/>
      <c r="P923" s="340"/>
      <c r="U923" s="340"/>
      <c r="V923" s="340"/>
      <c r="Z923" s="340"/>
      <c r="AE923" s="340"/>
      <c r="AI923" s="340"/>
      <c r="AN923" s="340"/>
      <c r="AO923" s="340"/>
      <c r="AS923" s="340"/>
      <c r="AX923" s="340"/>
      <c r="BB923" s="340"/>
      <c r="BD923" s="339"/>
    </row>
    <row r="924" spans="7:56" s="338" customFormat="1">
      <c r="G924" s="340"/>
      <c r="L924" s="340"/>
      <c r="P924" s="340"/>
      <c r="U924" s="340"/>
      <c r="V924" s="340"/>
      <c r="Z924" s="340"/>
      <c r="AE924" s="340"/>
      <c r="AI924" s="340"/>
      <c r="AN924" s="340"/>
      <c r="AO924" s="340"/>
      <c r="AS924" s="340"/>
      <c r="AX924" s="340"/>
      <c r="BB924" s="340"/>
      <c r="BD924" s="339"/>
    </row>
    <row r="925" spans="7:56" s="338" customFormat="1">
      <c r="G925" s="340"/>
      <c r="L925" s="340"/>
      <c r="P925" s="340"/>
      <c r="U925" s="340"/>
      <c r="V925" s="340"/>
      <c r="Z925" s="340"/>
      <c r="AE925" s="340"/>
      <c r="AI925" s="340"/>
      <c r="AN925" s="340"/>
      <c r="AO925" s="340"/>
      <c r="AS925" s="340"/>
      <c r="AX925" s="340"/>
      <c r="BB925" s="340"/>
      <c r="BD925" s="339"/>
    </row>
    <row r="926" spans="7:56" s="338" customFormat="1">
      <c r="G926" s="340"/>
      <c r="L926" s="340"/>
      <c r="P926" s="340"/>
      <c r="U926" s="340"/>
      <c r="V926" s="340"/>
      <c r="Z926" s="340"/>
      <c r="AE926" s="340"/>
      <c r="AI926" s="340"/>
      <c r="AN926" s="340"/>
      <c r="AO926" s="340"/>
      <c r="AS926" s="340"/>
      <c r="AX926" s="340"/>
      <c r="BB926" s="340"/>
      <c r="BD926" s="339"/>
    </row>
    <row r="927" spans="7:56" s="338" customFormat="1">
      <c r="G927" s="340"/>
      <c r="L927" s="340"/>
      <c r="P927" s="340"/>
      <c r="U927" s="340"/>
      <c r="V927" s="340"/>
      <c r="Z927" s="340"/>
      <c r="AE927" s="340"/>
      <c r="AI927" s="340"/>
      <c r="AN927" s="340"/>
      <c r="AO927" s="340"/>
      <c r="AS927" s="340"/>
      <c r="AX927" s="340"/>
      <c r="BB927" s="340"/>
      <c r="BD927" s="339"/>
    </row>
    <row r="928" spans="7:56" s="338" customFormat="1">
      <c r="G928" s="340"/>
      <c r="L928" s="340"/>
      <c r="P928" s="340"/>
      <c r="U928" s="340"/>
      <c r="V928" s="340"/>
      <c r="Z928" s="340"/>
      <c r="AE928" s="340"/>
      <c r="AI928" s="340"/>
      <c r="AN928" s="340"/>
      <c r="AO928" s="340"/>
      <c r="AS928" s="340"/>
      <c r="AX928" s="340"/>
      <c r="BB928" s="340"/>
      <c r="BD928" s="339"/>
    </row>
    <row r="929" spans="7:56" s="338" customFormat="1">
      <c r="G929" s="340"/>
      <c r="L929" s="340"/>
      <c r="P929" s="340"/>
      <c r="U929" s="340"/>
      <c r="V929" s="340"/>
      <c r="Z929" s="340"/>
      <c r="AE929" s="340"/>
      <c r="AI929" s="340"/>
      <c r="AN929" s="340"/>
      <c r="AO929" s="340"/>
      <c r="AS929" s="340"/>
      <c r="AX929" s="340"/>
      <c r="BB929" s="340"/>
      <c r="BD929" s="339"/>
    </row>
    <row r="930" spans="7:56" s="338" customFormat="1">
      <c r="G930" s="340"/>
      <c r="L930" s="340"/>
      <c r="P930" s="340"/>
      <c r="U930" s="340"/>
      <c r="V930" s="340"/>
      <c r="Z930" s="340"/>
      <c r="AE930" s="340"/>
      <c r="AI930" s="340"/>
      <c r="AN930" s="340"/>
      <c r="AO930" s="340"/>
      <c r="AS930" s="340"/>
      <c r="AX930" s="340"/>
      <c r="BB930" s="340"/>
      <c r="BD930" s="339"/>
    </row>
    <row r="931" spans="7:56" s="338" customFormat="1">
      <c r="G931" s="340"/>
      <c r="L931" s="340"/>
      <c r="P931" s="340"/>
      <c r="U931" s="340"/>
      <c r="V931" s="340"/>
      <c r="Z931" s="340"/>
      <c r="AE931" s="340"/>
      <c r="AI931" s="340"/>
      <c r="AN931" s="340"/>
      <c r="AO931" s="340"/>
      <c r="AS931" s="340"/>
      <c r="AX931" s="340"/>
      <c r="BB931" s="340"/>
      <c r="BD931" s="339"/>
    </row>
    <row r="932" spans="7:56" s="338" customFormat="1">
      <c r="G932" s="340"/>
      <c r="L932" s="340"/>
      <c r="P932" s="340"/>
      <c r="U932" s="340"/>
      <c r="V932" s="340"/>
      <c r="Z932" s="340"/>
      <c r="AE932" s="340"/>
      <c r="AI932" s="340"/>
      <c r="AN932" s="340"/>
      <c r="AO932" s="340"/>
      <c r="AS932" s="340"/>
      <c r="AX932" s="340"/>
      <c r="BB932" s="340"/>
      <c r="BD932" s="339"/>
    </row>
    <row r="933" spans="7:56" s="338" customFormat="1">
      <c r="G933" s="340"/>
      <c r="L933" s="340"/>
      <c r="P933" s="340"/>
      <c r="U933" s="340"/>
      <c r="V933" s="340"/>
      <c r="Z933" s="340"/>
      <c r="AE933" s="340"/>
      <c r="AI933" s="340"/>
      <c r="AN933" s="340"/>
      <c r="AO933" s="340"/>
      <c r="AS933" s="340"/>
      <c r="AX933" s="340"/>
      <c r="BB933" s="340"/>
      <c r="BD933" s="339"/>
    </row>
    <row r="934" spans="7:56" s="338" customFormat="1">
      <c r="G934" s="340"/>
      <c r="L934" s="340"/>
      <c r="P934" s="340"/>
      <c r="U934" s="340"/>
      <c r="V934" s="340"/>
      <c r="Z934" s="340"/>
      <c r="AE934" s="340"/>
      <c r="AI934" s="340"/>
      <c r="AN934" s="340"/>
      <c r="AO934" s="340"/>
      <c r="AS934" s="340"/>
      <c r="AX934" s="340"/>
      <c r="BB934" s="340"/>
      <c r="BD934" s="339"/>
    </row>
    <row r="935" spans="7:56" s="338" customFormat="1">
      <c r="G935" s="340"/>
      <c r="L935" s="340"/>
      <c r="P935" s="340"/>
      <c r="U935" s="340"/>
      <c r="V935" s="340"/>
      <c r="Z935" s="340"/>
      <c r="AE935" s="340"/>
      <c r="AI935" s="340"/>
      <c r="AN935" s="340"/>
      <c r="AO935" s="340"/>
      <c r="AS935" s="340"/>
      <c r="AX935" s="340"/>
      <c r="BB935" s="340"/>
      <c r="BD935" s="339"/>
    </row>
    <row r="936" spans="7:56" s="338" customFormat="1">
      <c r="G936" s="340"/>
      <c r="L936" s="340"/>
      <c r="P936" s="340"/>
      <c r="U936" s="340"/>
      <c r="V936" s="340"/>
      <c r="Z936" s="340"/>
      <c r="AE936" s="340"/>
      <c r="AI936" s="340"/>
      <c r="AN936" s="340"/>
      <c r="AO936" s="340"/>
      <c r="AS936" s="340"/>
      <c r="AX936" s="340"/>
      <c r="BB936" s="340"/>
      <c r="BD936" s="339"/>
    </row>
    <row r="937" spans="7:56" s="338" customFormat="1">
      <c r="G937" s="340"/>
      <c r="L937" s="340"/>
      <c r="P937" s="340"/>
      <c r="U937" s="340"/>
      <c r="V937" s="340"/>
      <c r="Z937" s="340"/>
      <c r="AE937" s="340"/>
      <c r="AI937" s="340"/>
      <c r="AN937" s="340"/>
      <c r="AO937" s="340"/>
      <c r="AS937" s="340"/>
      <c r="AX937" s="340"/>
      <c r="BB937" s="340"/>
      <c r="BD937" s="339"/>
    </row>
    <row r="938" spans="7:56" s="338" customFormat="1">
      <c r="G938" s="340"/>
      <c r="L938" s="340"/>
      <c r="P938" s="340"/>
      <c r="U938" s="340"/>
      <c r="V938" s="340"/>
      <c r="Z938" s="340"/>
      <c r="AE938" s="340"/>
      <c r="AI938" s="340"/>
      <c r="AN938" s="340"/>
      <c r="AO938" s="340"/>
      <c r="AS938" s="340"/>
      <c r="AX938" s="340"/>
      <c r="BB938" s="340"/>
      <c r="BD938" s="339"/>
    </row>
    <row r="939" spans="7:56" s="338" customFormat="1">
      <c r="G939" s="340"/>
      <c r="L939" s="340"/>
      <c r="P939" s="340"/>
      <c r="U939" s="340"/>
      <c r="V939" s="340"/>
      <c r="Z939" s="340"/>
      <c r="AE939" s="340"/>
      <c r="AI939" s="340"/>
      <c r="AN939" s="340"/>
      <c r="AO939" s="340"/>
      <c r="AS939" s="340"/>
      <c r="AX939" s="340"/>
      <c r="BB939" s="340"/>
      <c r="BD939" s="339"/>
    </row>
    <row r="940" spans="7:56" s="338" customFormat="1">
      <c r="G940" s="340"/>
      <c r="L940" s="340"/>
      <c r="P940" s="340"/>
      <c r="U940" s="340"/>
      <c r="V940" s="340"/>
      <c r="Z940" s="340"/>
      <c r="AE940" s="340"/>
      <c r="AI940" s="340"/>
      <c r="AN940" s="340"/>
      <c r="AO940" s="340"/>
      <c r="AS940" s="340"/>
      <c r="AX940" s="340"/>
      <c r="BB940" s="340"/>
      <c r="BD940" s="339"/>
    </row>
    <row r="941" spans="7:56" s="338" customFormat="1">
      <c r="G941" s="340"/>
      <c r="L941" s="340"/>
      <c r="P941" s="340"/>
      <c r="U941" s="340"/>
      <c r="V941" s="340"/>
      <c r="Z941" s="340"/>
      <c r="AE941" s="340"/>
      <c r="AI941" s="340"/>
      <c r="AN941" s="340"/>
      <c r="AO941" s="340"/>
      <c r="AS941" s="340"/>
      <c r="AX941" s="340"/>
      <c r="BB941" s="340"/>
      <c r="BD941" s="339"/>
    </row>
    <row r="942" spans="7:56" s="338" customFormat="1">
      <c r="G942" s="340"/>
      <c r="L942" s="340"/>
      <c r="P942" s="340"/>
      <c r="U942" s="340"/>
      <c r="V942" s="340"/>
      <c r="Z942" s="340"/>
      <c r="AE942" s="340"/>
      <c r="AI942" s="340"/>
      <c r="AN942" s="340"/>
      <c r="AO942" s="340"/>
      <c r="AS942" s="340"/>
      <c r="AX942" s="340"/>
      <c r="BB942" s="340"/>
      <c r="BD942" s="339"/>
    </row>
    <row r="943" spans="7:56" s="338" customFormat="1">
      <c r="G943" s="340"/>
      <c r="L943" s="340"/>
      <c r="P943" s="340"/>
      <c r="U943" s="340"/>
      <c r="V943" s="340"/>
      <c r="Z943" s="340"/>
      <c r="AE943" s="340"/>
      <c r="AI943" s="340"/>
      <c r="AN943" s="340"/>
      <c r="AO943" s="340"/>
      <c r="AS943" s="340"/>
      <c r="AX943" s="340"/>
      <c r="BB943" s="340"/>
      <c r="BD943" s="339"/>
    </row>
    <row r="944" spans="7:56" s="338" customFormat="1">
      <c r="G944" s="340"/>
      <c r="L944" s="340"/>
      <c r="P944" s="340"/>
      <c r="U944" s="340"/>
      <c r="V944" s="340"/>
      <c r="Z944" s="340"/>
      <c r="AE944" s="340"/>
      <c r="AI944" s="340"/>
      <c r="AN944" s="340"/>
      <c r="AO944" s="340"/>
      <c r="AS944" s="340"/>
      <c r="AX944" s="340"/>
      <c r="BB944" s="340"/>
      <c r="BD944" s="339"/>
    </row>
    <row r="945" spans="7:56" s="338" customFormat="1">
      <c r="G945" s="340"/>
      <c r="L945" s="340"/>
      <c r="P945" s="340"/>
      <c r="U945" s="340"/>
      <c r="V945" s="340"/>
      <c r="Z945" s="340"/>
      <c r="AE945" s="340"/>
      <c r="AI945" s="340"/>
      <c r="AN945" s="340"/>
      <c r="AO945" s="340"/>
      <c r="AS945" s="340"/>
      <c r="AX945" s="340"/>
      <c r="BB945" s="340"/>
      <c r="BD945" s="339"/>
    </row>
    <row r="946" spans="7:56" s="338" customFormat="1">
      <c r="G946" s="340"/>
      <c r="L946" s="340"/>
      <c r="P946" s="340"/>
      <c r="U946" s="340"/>
      <c r="V946" s="340"/>
      <c r="Z946" s="340"/>
      <c r="AE946" s="340"/>
      <c r="AI946" s="340"/>
      <c r="AN946" s="340"/>
      <c r="AO946" s="340"/>
      <c r="AS946" s="340"/>
      <c r="AX946" s="340"/>
      <c r="BB946" s="340"/>
      <c r="BD946" s="339"/>
    </row>
    <row r="947" spans="7:56" s="338" customFormat="1">
      <c r="G947" s="340"/>
      <c r="L947" s="340"/>
      <c r="P947" s="340"/>
      <c r="U947" s="340"/>
      <c r="V947" s="340"/>
      <c r="Z947" s="340"/>
      <c r="AE947" s="340"/>
      <c r="AI947" s="340"/>
      <c r="AN947" s="340"/>
      <c r="AO947" s="340"/>
      <c r="AS947" s="340"/>
      <c r="AX947" s="340"/>
      <c r="BB947" s="340"/>
      <c r="BD947" s="339"/>
    </row>
    <row r="948" spans="7:56" s="338" customFormat="1">
      <c r="G948" s="340"/>
      <c r="L948" s="340"/>
      <c r="P948" s="340"/>
      <c r="U948" s="340"/>
      <c r="V948" s="340"/>
      <c r="Z948" s="340"/>
      <c r="AE948" s="340"/>
      <c r="AI948" s="340"/>
      <c r="AN948" s="340"/>
      <c r="AO948" s="340"/>
      <c r="AS948" s="340"/>
      <c r="AX948" s="340"/>
      <c r="BB948" s="340"/>
      <c r="BD948" s="339"/>
    </row>
    <row r="949" spans="7:56" s="338" customFormat="1">
      <c r="G949" s="340"/>
      <c r="L949" s="340"/>
      <c r="P949" s="340"/>
      <c r="U949" s="340"/>
      <c r="V949" s="340"/>
      <c r="Z949" s="340"/>
      <c r="AE949" s="340"/>
      <c r="AI949" s="340"/>
      <c r="AN949" s="340"/>
      <c r="AO949" s="340"/>
      <c r="AS949" s="340"/>
      <c r="AX949" s="340"/>
      <c r="BB949" s="340"/>
      <c r="BD949" s="339"/>
    </row>
    <row r="950" spans="7:56" s="338" customFormat="1">
      <c r="G950" s="340"/>
      <c r="L950" s="340"/>
      <c r="P950" s="340"/>
      <c r="U950" s="340"/>
      <c r="V950" s="340"/>
      <c r="Z950" s="340"/>
      <c r="AE950" s="340"/>
      <c r="AI950" s="340"/>
      <c r="AN950" s="340"/>
      <c r="AO950" s="340"/>
      <c r="AS950" s="340"/>
      <c r="AX950" s="340"/>
      <c r="BB950" s="340"/>
      <c r="BD950" s="339"/>
    </row>
    <row r="951" spans="7:56" s="338" customFormat="1">
      <c r="G951" s="340"/>
      <c r="L951" s="340"/>
      <c r="P951" s="340"/>
      <c r="U951" s="340"/>
      <c r="V951" s="340"/>
      <c r="Z951" s="340"/>
      <c r="AE951" s="340"/>
      <c r="AI951" s="340"/>
      <c r="AN951" s="340"/>
      <c r="AO951" s="340"/>
      <c r="AS951" s="340"/>
      <c r="AX951" s="340"/>
      <c r="BB951" s="340"/>
      <c r="BD951" s="339"/>
    </row>
    <row r="952" spans="7:56" s="338" customFormat="1">
      <c r="G952" s="340"/>
      <c r="L952" s="340"/>
      <c r="P952" s="340"/>
      <c r="U952" s="340"/>
      <c r="V952" s="340"/>
      <c r="Z952" s="340"/>
      <c r="AE952" s="340"/>
      <c r="AI952" s="340"/>
      <c r="AN952" s="340"/>
      <c r="AO952" s="340"/>
      <c r="AS952" s="340"/>
      <c r="AX952" s="340"/>
      <c r="BB952" s="340"/>
      <c r="BD952" s="339"/>
    </row>
    <row r="953" spans="7:56" s="338" customFormat="1">
      <c r="G953" s="340"/>
      <c r="L953" s="340"/>
      <c r="P953" s="340"/>
      <c r="U953" s="340"/>
      <c r="V953" s="340"/>
      <c r="Z953" s="340"/>
      <c r="AE953" s="340"/>
      <c r="AI953" s="340"/>
      <c r="AN953" s="340"/>
      <c r="AO953" s="340"/>
      <c r="AS953" s="340"/>
      <c r="AX953" s="340"/>
      <c r="BB953" s="340"/>
      <c r="BD953" s="339"/>
    </row>
    <row r="954" spans="7:56" s="338" customFormat="1">
      <c r="G954" s="340"/>
      <c r="L954" s="340"/>
      <c r="P954" s="340"/>
      <c r="U954" s="340"/>
      <c r="V954" s="340"/>
      <c r="Z954" s="340"/>
      <c r="AE954" s="340"/>
      <c r="AI954" s="340"/>
      <c r="AN954" s="340"/>
      <c r="AO954" s="340"/>
      <c r="AS954" s="340"/>
      <c r="AX954" s="340"/>
      <c r="BB954" s="340"/>
      <c r="BD954" s="339"/>
    </row>
    <row r="955" spans="7:56" s="338" customFormat="1">
      <c r="G955" s="340"/>
      <c r="L955" s="340"/>
      <c r="P955" s="340"/>
      <c r="U955" s="340"/>
      <c r="V955" s="340"/>
      <c r="Z955" s="340"/>
      <c r="AE955" s="340"/>
      <c r="AI955" s="340"/>
      <c r="AN955" s="340"/>
      <c r="AO955" s="340"/>
      <c r="AS955" s="340"/>
      <c r="AX955" s="340"/>
      <c r="BB955" s="340"/>
      <c r="BD955" s="339"/>
    </row>
    <row r="956" spans="7:56" s="338" customFormat="1">
      <c r="G956" s="340"/>
      <c r="L956" s="340"/>
      <c r="P956" s="340"/>
      <c r="U956" s="340"/>
      <c r="V956" s="340"/>
      <c r="Z956" s="340"/>
      <c r="AE956" s="340"/>
      <c r="AI956" s="340"/>
      <c r="AN956" s="340"/>
      <c r="AO956" s="340"/>
      <c r="AS956" s="340"/>
      <c r="AX956" s="340"/>
      <c r="BB956" s="340"/>
      <c r="BD956" s="339"/>
    </row>
    <row r="957" spans="7:56" s="338" customFormat="1">
      <c r="G957" s="340"/>
      <c r="L957" s="340"/>
      <c r="P957" s="340"/>
      <c r="U957" s="340"/>
      <c r="V957" s="340"/>
      <c r="Z957" s="340"/>
      <c r="AE957" s="340"/>
      <c r="AI957" s="340"/>
      <c r="AN957" s="340"/>
      <c r="AO957" s="340"/>
      <c r="AS957" s="340"/>
      <c r="AX957" s="340"/>
      <c r="BB957" s="340"/>
      <c r="BD957" s="339"/>
    </row>
    <row r="958" spans="7:56" s="338" customFormat="1">
      <c r="G958" s="340"/>
      <c r="L958" s="340"/>
      <c r="P958" s="340"/>
      <c r="U958" s="340"/>
      <c r="V958" s="340"/>
      <c r="Z958" s="340"/>
      <c r="AE958" s="340"/>
      <c r="AI958" s="340"/>
      <c r="AN958" s="340"/>
      <c r="AO958" s="340"/>
      <c r="AS958" s="340"/>
      <c r="AX958" s="340"/>
      <c r="BB958" s="340"/>
      <c r="BD958" s="339"/>
    </row>
    <row r="959" spans="7:56" s="338" customFormat="1">
      <c r="G959" s="340"/>
      <c r="L959" s="340"/>
      <c r="P959" s="340"/>
      <c r="U959" s="340"/>
      <c r="V959" s="340"/>
      <c r="Z959" s="340"/>
      <c r="AE959" s="340"/>
      <c r="AI959" s="340"/>
      <c r="AN959" s="340"/>
      <c r="AO959" s="340"/>
      <c r="AS959" s="340"/>
      <c r="AX959" s="340"/>
      <c r="BB959" s="340"/>
      <c r="BD959" s="339"/>
    </row>
    <row r="960" spans="7:56" s="338" customFormat="1">
      <c r="G960" s="340"/>
      <c r="L960" s="340"/>
      <c r="P960" s="340"/>
      <c r="U960" s="340"/>
      <c r="V960" s="340"/>
      <c r="Z960" s="340"/>
      <c r="AE960" s="340"/>
      <c r="AI960" s="340"/>
      <c r="AN960" s="340"/>
      <c r="AO960" s="340"/>
      <c r="AS960" s="340"/>
      <c r="AX960" s="340"/>
      <c r="BB960" s="340"/>
      <c r="BD960" s="339"/>
    </row>
    <row r="961" spans="7:56" s="338" customFormat="1">
      <c r="G961" s="340"/>
      <c r="L961" s="340"/>
      <c r="P961" s="340"/>
      <c r="U961" s="340"/>
      <c r="V961" s="340"/>
      <c r="Z961" s="340"/>
      <c r="AE961" s="340"/>
      <c r="AI961" s="340"/>
      <c r="AN961" s="340"/>
      <c r="AO961" s="340"/>
      <c r="AS961" s="340"/>
      <c r="AX961" s="340"/>
      <c r="BB961" s="340"/>
      <c r="BD961" s="339"/>
    </row>
    <row r="962" spans="7:56" s="338" customFormat="1">
      <c r="G962" s="340"/>
      <c r="L962" s="340"/>
      <c r="P962" s="340"/>
      <c r="U962" s="340"/>
      <c r="V962" s="340"/>
      <c r="Z962" s="340"/>
      <c r="AE962" s="340"/>
      <c r="AI962" s="340"/>
      <c r="AN962" s="340"/>
      <c r="AO962" s="340"/>
      <c r="AS962" s="340"/>
      <c r="AX962" s="340"/>
      <c r="BB962" s="340"/>
      <c r="BD962" s="339"/>
    </row>
    <row r="963" spans="7:56" s="338" customFormat="1">
      <c r="G963" s="340"/>
      <c r="L963" s="340"/>
      <c r="P963" s="340"/>
      <c r="U963" s="340"/>
      <c r="V963" s="340"/>
      <c r="Z963" s="340"/>
      <c r="AE963" s="340"/>
      <c r="AI963" s="340"/>
      <c r="AN963" s="340"/>
      <c r="AO963" s="340"/>
      <c r="AS963" s="340"/>
      <c r="AX963" s="340"/>
      <c r="BB963" s="340"/>
      <c r="BD963" s="339"/>
    </row>
    <row r="964" spans="7:56" s="338" customFormat="1">
      <c r="G964" s="340"/>
      <c r="L964" s="340"/>
      <c r="P964" s="340"/>
      <c r="U964" s="340"/>
      <c r="V964" s="340"/>
      <c r="Z964" s="340"/>
      <c r="AE964" s="340"/>
      <c r="AI964" s="340"/>
      <c r="AN964" s="340"/>
      <c r="AO964" s="340"/>
      <c r="AS964" s="340"/>
      <c r="AX964" s="340"/>
      <c r="BB964" s="340"/>
      <c r="BD964" s="339"/>
    </row>
    <row r="965" spans="7:56" s="338" customFormat="1">
      <c r="G965" s="340"/>
      <c r="L965" s="340"/>
      <c r="P965" s="340"/>
      <c r="U965" s="340"/>
      <c r="V965" s="340"/>
      <c r="Z965" s="340"/>
      <c r="AE965" s="340"/>
      <c r="AI965" s="340"/>
      <c r="AN965" s="340"/>
      <c r="AO965" s="340"/>
      <c r="AS965" s="340"/>
      <c r="AX965" s="340"/>
      <c r="BB965" s="340"/>
      <c r="BD965" s="339"/>
    </row>
    <row r="966" spans="7:56" s="338" customFormat="1">
      <c r="G966" s="340"/>
      <c r="L966" s="340"/>
      <c r="P966" s="340"/>
      <c r="U966" s="340"/>
      <c r="V966" s="340"/>
      <c r="Z966" s="340"/>
      <c r="AE966" s="340"/>
      <c r="AI966" s="340"/>
      <c r="AN966" s="340"/>
      <c r="AO966" s="340"/>
      <c r="AS966" s="340"/>
      <c r="AX966" s="340"/>
      <c r="BB966" s="340"/>
      <c r="BD966" s="339"/>
    </row>
    <row r="967" spans="7:56" s="338" customFormat="1">
      <c r="G967" s="340"/>
      <c r="L967" s="340"/>
      <c r="P967" s="340"/>
      <c r="U967" s="340"/>
      <c r="V967" s="340"/>
      <c r="Z967" s="340"/>
      <c r="AE967" s="340"/>
      <c r="AI967" s="340"/>
      <c r="AN967" s="340"/>
      <c r="AO967" s="340"/>
      <c r="AS967" s="340"/>
      <c r="AX967" s="340"/>
      <c r="BB967" s="340"/>
      <c r="BD967" s="339"/>
    </row>
    <row r="968" spans="7:56" s="338" customFormat="1">
      <c r="G968" s="340"/>
      <c r="L968" s="340"/>
      <c r="P968" s="340"/>
      <c r="U968" s="340"/>
      <c r="V968" s="340"/>
      <c r="Z968" s="340"/>
      <c r="AE968" s="340"/>
      <c r="AI968" s="340"/>
      <c r="AN968" s="340"/>
      <c r="AO968" s="340"/>
      <c r="AS968" s="340"/>
      <c r="AX968" s="340"/>
      <c r="BB968" s="340"/>
      <c r="BD968" s="339"/>
    </row>
    <row r="969" spans="7:56" s="338" customFormat="1">
      <c r="G969" s="340"/>
      <c r="L969" s="340"/>
      <c r="P969" s="340"/>
      <c r="U969" s="340"/>
      <c r="V969" s="340"/>
      <c r="Z969" s="340"/>
      <c r="AE969" s="340"/>
      <c r="AI969" s="340"/>
      <c r="AN969" s="340"/>
      <c r="AO969" s="340"/>
      <c r="AS969" s="340"/>
      <c r="AX969" s="340"/>
      <c r="BB969" s="340"/>
      <c r="BD969" s="339"/>
    </row>
    <row r="970" spans="7:56" s="338" customFormat="1">
      <c r="G970" s="340"/>
      <c r="L970" s="340"/>
      <c r="P970" s="340"/>
      <c r="U970" s="340"/>
      <c r="V970" s="340"/>
      <c r="Z970" s="340"/>
      <c r="AE970" s="340"/>
      <c r="AI970" s="340"/>
      <c r="AN970" s="340"/>
      <c r="AO970" s="340"/>
      <c r="AS970" s="340"/>
      <c r="AX970" s="340"/>
      <c r="BB970" s="340"/>
      <c r="BD970" s="339"/>
    </row>
    <row r="971" spans="7:56" s="338" customFormat="1">
      <c r="G971" s="340"/>
      <c r="L971" s="340"/>
      <c r="P971" s="340"/>
      <c r="U971" s="340"/>
      <c r="V971" s="340"/>
      <c r="Z971" s="340"/>
      <c r="AE971" s="340"/>
      <c r="AI971" s="340"/>
      <c r="AN971" s="340"/>
      <c r="AO971" s="340"/>
      <c r="AS971" s="340"/>
      <c r="AX971" s="340"/>
      <c r="BB971" s="340"/>
      <c r="BD971" s="339"/>
    </row>
    <row r="972" spans="7:56" s="338" customFormat="1">
      <c r="G972" s="340"/>
      <c r="L972" s="340"/>
      <c r="P972" s="340"/>
      <c r="U972" s="340"/>
      <c r="V972" s="340"/>
      <c r="Z972" s="340"/>
      <c r="AE972" s="340"/>
      <c r="AI972" s="340"/>
      <c r="AN972" s="340"/>
      <c r="AO972" s="340"/>
      <c r="AS972" s="340"/>
      <c r="AX972" s="340"/>
      <c r="BB972" s="340"/>
      <c r="BD972" s="339"/>
    </row>
    <row r="973" spans="7:56" s="338" customFormat="1">
      <c r="G973" s="340"/>
      <c r="L973" s="340"/>
      <c r="P973" s="340"/>
      <c r="U973" s="340"/>
      <c r="V973" s="340"/>
      <c r="Z973" s="340"/>
      <c r="AE973" s="340"/>
      <c r="AI973" s="340"/>
      <c r="AN973" s="340"/>
      <c r="AO973" s="340"/>
      <c r="AS973" s="340"/>
      <c r="AX973" s="340"/>
      <c r="BB973" s="340"/>
      <c r="BD973" s="339"/>
    </row>
    <row r="974" spans="7:56" s="338" customFormat="1">
      <c r="G974" s="340"/>
      <c r="L974" s="340"/>
      <c r="P974" s="340"/>
      <c r="U974" s="340"/>
      <c r="V974" s="340"/>
      <c r="Z974" s="340"/>
      <c r="AE974" s="340"/>
      <c r="AI974" s="340"/>
      <c r="AN974" s="340"/>
      <c r="AO974" s="340"/>
      <c r="AS974" s="340"/>
      <c r="AX974" s="340"/>
      <c r="BB974" s="340"/>
      <c r="BD974" s="339"/>
    </row>
    <row r="975" spans="7:56" s="338" customFormat="1">
      <c r="G975" s="340"/>
      <c r="L975" s="340"/>
      <c r="P975" s="340"/>
      <c r="U975" s="340"/>
      <c r="V975" s="340"/>
      <c r="Z975" s="340"/>
      <c r="AE975" s="340"/>
      <c r="AI975" s="340"/>
      <c r="AN975" s="340"/>
      <c r="AO975" s="340"/>
      <c r="AS975" s="340"/>
      <c r="AX975" s="340"/>
      <c r="BB975" s="340"/>
      <c r="BD975" s="339"/>
    </row>
    <row r="976" spans="7:56" s="338" customFormat="1">
      <c r="G976" s="340"/>
      <c r="L976" s="340"/>
      <c r="P976" s="340"/>
      <c r="U976" s="340"/>
      <c r="V976" s="340"/>
      <c r="Z976" s="340"/>
      <c r="AE976" s="340"/>
      <c r="AI976" s="340"/>
      <c r="AN976" s="340"/>
      <c r="AO976" s="340"/>
      <c r="AS976" s="340"/>
      <c r="AX976" s="340"/>
      <c r="BB976" s="340"/>
      <c r="BD976" s="339"/>
    </row>
    <row r="977" spans="7:56" s="338" customFormat="1">
      <c r="G977" s="340"/>
      <c r="L977" s="340"/>
      <c r="P977" s="340"/>
      <c r="U977" s="340"/>
      <c r="V977" s="340"/>
      <c r="Z977" s="340"/>
      <c r="AE977" s="340"/>
      <c r="AI977" s="340"/>
      <c r="AN977" s="340"/>
      <c r="AO977" s="340"/>
      <c r="AS977" s="340"/>
      <c r="AX977" s="340"/>
      <c r="BB977" s="340"/>
      <c r="BD977" s="339"/>
    </row>
    <row r="978" spans="7:56" s="338" customFormat="1">
      <c r="G978" s="340"/>
      <c r="L978" s="340"/>
      <c r="P978" s="340"/>
      <c r="U978" s="340"/>
      <c r="V978" s="340"/>
      <c r="Z978" s="340"/>
      <c r="AE978" s="340"/>
      <c r="AI978" s="340"/>
      <c r="AN978" s="340"/>
      <c r="AO978" s="340"/>
      <c r="AS978" s="340"/>
      <c r="AX978" s="340"/>
      <c r="BB978" s="340"/>
      <c r="BD978" s="339"/>
    </row>
    <row r="979" spans="7:56" s="338" customFormat="1">
      <c r="G979" s="340"/>
      <c r="L979" s="340"/>
      <c r="P979" s="340"/>
      <c r="U979" s="340"/>
      <c r="V979" s="340"/>
      <c r="Z979" s="340"/>
      <c r="AE979" s="340"/>
      <c r="AI979" s="340"/>
      <c r="AN979" s="340"/>
      <c r="AO979" s="340"/>
      <c r="AS979" s="340"/>
      <c r="AX979" s="340"/>
      <c r="BB979" s="340"/>
      <c r="BD979" s="339"/>
    </row>
    <row r="980" spans="7:56" s="338" customFormat="1">
      <c r="G980" s="340"/>
      <c r="L980" s="340"/>
      <c r="P980" s="340"/>
      <c r="U980" s="340"/>
      <c r="V980" s="340"/>
      <c r="Z980" s="340"/>
      <c r="AE980" s="340"/>
      <c r="AI980" s="340"/>
      <c r="AN980" s="340"/>
      <c r="AO980" s="340"/>
      <c r="AS980" s="340"/>
      <c r="AX980" s="340"/>
      <c r="BB980" s="340"/>
      <c r="BD980" s="339"/>
    </row>
    <row r="981" spans="7:56" s="338" customFormat="1">
      <c r="G981" s="340"/>
      <c r="L981" s="340"/>
      <c r="P981" s="340"/>
      <c r="U981" s="340"/>
      <c r="V981" s="340"/>
      <c r="Z981" s="340"/>
      <c r="AE981" s="340"/>
      <c r="AI981" s="340"/>
      <c r="AN981" s="340"/>
      <c r="AO981" s="340"/>
      <c r="AS981" s="340"/>
      <c r="AX981" s="340"/>
      <c r="BB981" s="340"/>
      <c r="BD981" s="339"/>
    </row>
    <row r="982" spans="7:56" s="338" customFormat="1">
      <c r="G982" s="340"/>
      <c r="L982" s="340"/>
      <c r="P982" s="340"/>
      <c r="U982" s="340"/>
      <c r="V982" s="340"/>
      <c r="Z982" s="340"/>
      <c r="AE982" s="340"/>
      <c r="AI982" s="340"/>
      <c r="AN982" s="340"/>
      <c r="AO982" s="340"/>
      <c r="AS982" s="340"/>
      <c r="AX982" s="340"/>
      <c r="BB982" s="340"/>
      <c r="BD982" s="339"/>
    </row>
    <row r="983" spans="7:56" s="338" customFormat="1">
      <c r="G983" s="340"/>
      <c r="L983" s="340"/>
      <c r="P983" s="340"/>
      <c r="U983" s="340"/>
      <c r="V983" s="340"/>
      <c r="Z983" s="340"/>
      <c r="AE983" s="340"/>
      <c r="AI983" s="340"/>
      <c r="AN983" s="340"/>
      <c r="AO983" s="340"/>
      <c r="AS983" s="340"/>
      <c r="AX983" s="340"/>
      <c r="BB983" s="340"/>
      <c r="BD983" s="339"/>
    </row>
    <row r="984" spans="7:56" s="338" customFormat="1">
      <c r="G984" s="340"/>
      <c r="L984" s="340"/>
      <c r="P984" s="340"/>
      <c r="U984" s="340"/>
      <c r="V984" s="340"/>
      <c r="Z984" s="340"/>
      <c r="AE984" s="340"/>
      <c r="AI984" s="340"/>
      <c r="AN984" s="340"/>
      <c r="AO984" s="340"/>
      <c r="AS984" s="340"/>
      <c r="AX984" s="340"/>
      <c r="BB984" s="340"/>
      <c r="BD984" s="339"/>
    </row>
    <row r="985" spans="7:56" s="338" customFormat="1">
      <c r="G985" s="340"/>
      <c r="L985" s="340"/>
      <c r="P985" s="340"/>
      <c r="U985" s="340"/>
      <c r="V985" s="340"/>
      <c r="Z985" s="340"/>
      <c r="AE985" s="340"/>
      <c r="AI985" s="340"/>
      <c r="AN985" s="340"/>
      <c r="AO985" s="340"/>
      <c r="AS985" s="340"/>
      <c r="AX985" s="340"/>
      <c r="BB985" s="340"/>
      <c r="BD985" s="339"/>
    </row>
    <row r="986" spans="7:56" s="338" customFormat="1">
      <c r="G986" s="340"/>
      <c r="L986" s="340"/>
      <c r="P986" s="340"/>
      <c r="U986" s="340"/>
      <c r="V986" s="340"/>
      <c r="Z986" s="340"/>
      <c r="AE986" s="340"/>
      <c r="AI986" s="340"/>
      <c r="AN986" s="340"/>
      <c r="AO986" s="340"/>
      <c r="AS986" s="340"/>
      <c r="AX986" s="340"/>
      <c r="BB986" s="340"/>
      <c r="BD986" s="339"/>
    </row>
    <row r="987" spans="7:56" s="338" customFormat="1">
      <c r="G987" s="340"/>
      <c r="L987" s="340"/>
      <c r="P987" s="340"/>
      <c r="U987" s="340"/>
      <c r="V987" s="340"/>
      <c r="Z987" s="340"/>
      <c r="AE987" s="340"/>
      <c r="AI987" s="340"/>
      <c r="AN987" s="340"/>
      <c r="AO987" s="340"/>
      <c r="AS987" s="340"/>
      <c r="AX987" s="340"/>
      <c r="BB987" s="340"/>
      <c r="BD987" s="339"/>
    </row>
    <row r="988" spans="7:56" s="338" customFormat="1">
      <c r="G988" s="340"/>
      <c r="L988" s="340"/>
      <c r="P988" s="340"/>
      <c r="U988" s="340"/>
      <c r="V988" s="340"/>
      <c r="Z988" s="340"/>
      <c r="AE988" s="340"/>
      <c r="AI988" s="340"/>
      <c r="AN988" s="340"/>
      <c r="AO988" s="340"/>
      <c r="AS988" s="340"/>
      <c r="AX988" s="340"/>
      <c r="BB988" s="340"/>
      <c r="BD988" s="339"/>
    </row>
    <row r="989" spans="7:56" s="338" customFormat="1">
      <c r="G989" s="340"/>
      <c r="L989" s="340"/>
      <c r="P989" s="340"/>
      <c r="U989" s="340"/>
      <c r="V989" s="340"/>
      <c r="Z989" s="340"/>
      <c r="AE989" s="340"/>
      <c r="AI989" s="340"/>
      <c r="AN989" s="340"/>
      <c r="AO989" s="340"/>
      <c r="AS989" s="340"/>
      <c r="AX989" s="340"/>
      <c r="BB989" s="340"/>
      <c r="BD989" s="339"/>
    </row>
    <row r="990" spans="7:56" s="338" customFormat="1">
      <c r="G990" s="340"/>
      <c r="L990" s="340"/>
      <c r="P990" s="340"/>
      <c r="U990" s="340"/>
      <c r="V990" s="340"/>
      <c r="Z990" s="340"/>
      <c r="AE990" s="340"/>
      <c r="AI990" s="340"/>
      <c r="AN990" s="340"/>
      <c r="AO990" s="340"/>
      <c r="AS990" s="340"/>
      <c r="AX990" s="340"/>
      <c r="BB990" s="340"/>
      <c r="BD990" s="339"/>
    </row>
    <row r="991" spans="7:56" s="338" customFormat="1">
      <c r="G991" s="340"/>
      <c r="L991" s="340"/>
      <c r="P991" s="340"/>
      <c r="U991" s="340"/>
      <c r="V991" s="340"/>
      <c r="Z991" s="340"/>
      <c r="AE991" s="340"/>
      <c r="AI991" s="340"/>
      <c r="AN991" s="340"/>
      <c r="AO991" s="340"/>
      <c r="AS991" s="340"/>
      <c r="AX991" s="340"/>
      <c r="BB991" s="340"/>
      <c r="BD991" s="339"/>
    </row>
    <row r="992" spans="7:56" s="338" customFormat="1">
      <c r="G992" s="340"/>
      <c r="L992" s="340"/>
      <c r="P992" s="340"/>
      <c r="U992" s="340"/>
      <c r="V992" s="340"/>
      <c r="Z992" s="340"/>
      <c r="AE992" s="340"/>
      <c r="AI992" s="340"/>
      <c r="AN992" s="340"/>
      <c r="AO992" s="340"/>
      <c r="AS992" s="340"/>
      <c r="AX992" s="340"/>
      <c r="BB992" s="340"/>
      <c r="BD992" s="339"/>
    </row>
    <row r="993" spans="7:56" s="338" customFormat="1">
      <c r="G993" s="340"/>
      <c r="L993" s="340"/>
      <c r="P993" s="340"/>
      <c r="U993" s="340"/>
      <c r="V993" s="340"/>
      <c r="Z993" s="340"/>
      <c r="AE993" s="340"/>
      <c r="AI993" s="340"/>
      <c r="AN993" s="340"/>
      <c r="AO993" s="340"/>
      <c r="AS993" s="340"/>
      <c r="AX993" s="340"/>
      <c r="BB993" s="340"/>
      <c r="BD993" s="339"/>
    </row>
    <row r="994" spans="7:56" s="338" customFormat="1">
      <c r="G994" s="340"/>
      <c r="L994" s="340"/>
      <c r="P994" s="340"/>
      <c r="U994" s="340"/>
      <c r="V994" s="340"/>
      <c r="Z994" s="340"/>
      <c r="AE994" s="340"/>
      <c r="AI994" s="340"/>
      <c r="AN994" s="340"/>
      <c r="AO994" s="340"/>
      <c r="AS994" s="340"/>
      <c r="AX994" s="340"/>
      <c r="BB994" s="340"/>
      <c r="BD994" s="339"/>
    </row>
    <row r="995" spans="7:56" s="338" customFormat="1">
      <c r="G995" s="340"/>
      <c r="L995" s="340"/>
      <c r="P995" s="340"/>
      <c r="U995" s="340"/>
      <c r="V995" s="340"/>
      <c r="Z995" s="340"/>
      <c r="AE995" s="340"/>
      <c r="AI995" s="340"/>
      <c r="AN995" s="340"/>
      <c r="AO995" s="340"/>
      <c r="AS995" s="340"/>
      <c r="AX995" s="340"/>
      <c r="BB995" s="340"/>
      <c r="BD995" s="339"/>
    </row>
    <row r="996" spans="7:56" s="338" customFormat="1">
      <c r="G996" s="340"/>
      <c r="L996" s="340"/>
      <c r="P996" s="340"/>
      <c r="U996" s="340"/>
      <c r="V996" s="340"/>
      <c r="Z996" s="340"/>
      <c r="AE996" s="340"/>
      <c r="AI996" s="340"/>
      <c r="AN996" s="340"/>
      <c r="AO996" s="340"/>
      <c r="AS996" s="340"/>
      <c r="AX996" s="340"/>
      <c r="BB996" s="340"/>
      <c r="BD996" s="339"/>
    </row>
    <row r="997" spans="7:56" s="338" customFormat="1">
      <c r="G997" s="340"/>
      <c r="L997" s="340"/>
      <c r="P997" s="340"/>
      <c r="U997" s="340"/>
      <c r="V997" s="340"/>
      <c r="Z997" s="340"/>
      <c r="AE997" s="340"/>
      <c r="AI997" s="340"/>
      <c r="AN997" s="340"/>
      <c r="AO997" s="340"/>
      <c r="AS997" s="340"/>
      <c r="AX997" s="340"/>
      <c r="BB997" s="340"/>
      <c r="BD997" s="339"/>
    </row>
    <row r="998" spans="7:56" s="338" customFormat="1">
      <c r="G998" s="340"/>
      <c r="L998" s="340"/>
      <c r="P998" s="340"/>
      <c r="U998" s="340"/>
      <c r="V998" s="340"/>
      <c r="Z998" s="340"/>
      <c r="AE998" s="340"/>
      <c r="AI998" s="340"/>
      <c r="AN998" s="340"/>
      <c r="AO998" s="340"/>
      <c r="AS998" s="340"/>
      <c r="AX998" s="340"/>
      <c r="BB998" s="340"/>
      <c r="BD998" s="339"/>
    </row>
    <row r="999" spans="7:56" s="338" customFormat="1">
      <c r="G999" s="340"/>
      <c r="L999" s="340"/>
      <c r="P999" s="340"/>
      <c r="U999" s="340"/>
      <c r="V999" s="340"/>
      <c r="Z999" s="340"/>
      <c r="AE999" s="340"/>
      <c r="AI999" s="340"/>
      <c r="AN999" s="340"/>
      <c r="AO999" s="340"/>
      <c r="AS999" s="340"/>
      <c r="AX999" s="340"/>
      <c r="BB999" s="340"/>
      <c r="BD999" s="339"/>
    </row>
    <row r="1000" spans="7:56" s="338" customFormat="1">
      <c r="G1000" s="340"/>
      <c r="L1000" s="340"/>
      <c r="P1000" s="340"/>
      <c r="U1000" s="340"/>
      <c r="V1000" s="340"/>
      <c r="Z1000" s="340"/>
      <c r="AE1000" s="340"/>
      <c r="AI1000" s="340"/>
      <c r="AN1000" s="340"/>
      <c r="AO1000" s="340"/>
      <c r="AS1000" s="340"/>
      <c r="AX1000" s="340"/>
      <c r="BB1000" s="340"/>
      <c r="BD1000" s="339"/>
    </row>
    <row r="1001" spans="7:56" s="338" customFormat="1">
      <c r="G1001" s="340"/>
      <c r="L1001" s="340"/>
      <c r="P1001" s="340"/>
      <c r="U1001" s="340"/>
      <c r="V1001" s="340"/>
      <c r="Z1001" s="340"/>
      <c r="AE1001" s="340"/>
      <c r="AI1001" s="340"/>
      <c r="AN1001" s="340"/>
      <c r="AO1001" s="340"/>
      <c r="AS1001" s="340"/>
      <c r="AX1001" s="340"/>
      <c r="BB1001" s="340"/>
      <c r="BD1001" s="339"/>
    </row>
    <row r="1002" spans="7:56" s="338" customFormat="1">
      <c r="G1002" s="340"/>
      <c r="L1002" s="340"/>
      <c r="P1002" s="340"/>
      <c r="U1002" s="340"/>
      <c r="V1002" s="340"/>
      <c r="Z1002" s="340"/>
      <c r="AE1002" s="340"/>
      <c r="AI1002" s="340"/>
      <c r="AN1002" s="340"/>
      <c r="AO1002" s="340"/>
      <c r="AS1002" s="340"/>
      <c r="AX1002" s="340"/>
      <c r="BB1002" s="340"/>
      <c r="BD1002" s="339"/>
    </row>
    <row r="1003" spans="7:56" s="338" customFormat="1">
      <c r="G1003" s="340"/>
      <c r="L1003" s="340"/>
      <c r="P1003" s="340"/>
      <c r="U1003" s="340"/>
      <c r="V1003" s="340"/>
      <c r="Z1003" s="340"/>
      <c r="AE1003" s="340"/>
      <c r="AI1003" s="340"/>
      <c r="AN1003" s="340"/>
      <c r="AO1003" s="340"/>
      <c r="AS1003" s="340"/>
      <c r="AX1003" s="340"/>
      <c r="BB1003" s="340"/>
      <c r="BD1003" s="339"/>
    </row>
    <row r="1004" spans="7:56" s="338" customFormat="1">
      <c r="G1004" s="340"/>
      <c r="L1004" s="340"/>
      <c r="P1004" s="340"/>
      <c r="U1004" s="340"/>
      <c r="V1004" s="340"/>
      <c r="Z1004" s="340"/>
      <c r="AE1004" s="340"/>
      <c r="AI1004" s="340"/>
      <c r="AN1004" s="340"/>
      <c r="AO1004" s="340"/>
      <c r="AS1004" s="340"/>
      <c r="AX1004" s="340"/>
      <c r="BB1004" s="340"/>
      <c r="BD1004" s="339"/>
    </row>
    <row r="1005" spans="7:56" s="338" customFormat="1">
      <c r="G1005" s="340"/>
      <c r="L1005" s="340"/>
      <c r="P1005" s="340"/>
      <c r="U1005" s="340"/>
      <c r="V1005" s="340"/>
      <c r="Z1005" s="340"/>
      <c r="AE1005" s="340"/>
      <c r="AI1005" s="340"/>
      <c r="AN1005" s="340"/>
      <c r="AO1005" s="340"/>
      <c r="AS1005" s="340"/>
      <c r="AX1005" s="340"/>
      <c r="BB1005" s="340"/>
      <c r="BD1005" s="339"/>
    </row>
    <row r="1006" spans="7:56" s="338" customFormat="1">
      <c r="G1006" s="340"/>
      <c r="L1006" s="340"/>
      <c r="P1006" s="340"/>
      <c r="U1006" s="340"/>
      <c r="V1006" s="340"/>
      <c r="Z1006" s="340"/>
      <c r="AE1006" s="340"/>
      <c r="AI1006" s="340"/>
      <c r="AN1006" s="340"/>
      <c r="AO1006" s="340"/>
      <c r="AS1006" s="340"/>
      <c r="AX1006" s="340"/>
      <c r="BB1006" s="340"/>
      <c r="BD1006" s="339"/>
    </row>
    <row r="1007" spans="7:56" s="338" customFormat="1">
      <c r="G1007" s="340"/>
      <c r="L1007" s="340"/>
      <c r="P1007" s="340"/>
      <c r="U1007" s="340"/>
      <c r="V1007" s="340"/>
      <c r="Z1007" s="340"/>
      <c r="AE1007" s="340"/>
      <c r="AI1007" s="340"/>
      <c r="AN1007" s="340"/>
      <c r="AO1007" s="340"/>
      <c r="AS1007" s="340"/>
      <c r="AX1007" s="340"/>
      <c r="BB1007" s="340"/>
      <c r="BD1007" s="339"/>
    </row>
    <row r="1008" spans="7:56" s="338" customFormat="1">
      <c r="G1008" s="340"/>
      <c r="L1008" s="340"/>
      <c r="P1008" s="340"/>
      <c r="U1008" s="340"/>
      <c r="V1008" s="340"/>
      <c r="Z1008" s="340"/>
      <c r="AE1008" s="340"/>
      <c r="AI1008" s="340"/>
      <c r="AN1008" s="340"/>
      <c r="AO1008" s="340"/>
      <c r="AS1008" s="340"/>
      <c r="AX1008" s="340"/>
      <c r="BB1008" s="340"/>
      <c r="BD1008" s="339"/>
    </row>
    <row r="1009" spans="7:56" s="338" customFormat="1">
      <c r="G1009" s="340"/>
      <c r="L1009" s="340"/>
      <c r="P1009" s="340"/>
      <c r="U1009" s="340"/>
      <c r="V1009" s="340"/>
      <c r="Z1009" s="340"/>
      <c r="AE1009" s="340"/>
      <c r="AI1009" s="340"/>
      <c r="AN1009" s="340"/>
      <c r="AO1009" s="340"/>
      <c r="AS1009" s="340"/>
      <c r="AX1009" s="340"/>
      <c r="BB1009" s="340"/>
      <c r="BD1009" s="339"/>
    </row>
    <row r="1010" spans="7:56" s="338" customFormat="1">
      <c r="G1010" s="340"/>
      <c r="L1010" s="340"/>
      <c r="P1010" s="340"/>
      <c r="U1010" s="340"/>
      <c r="V1010" s="340"/>
      <c r="Z1010" s="340"/>
      <c r="AE1010" s="340"/>
      <c r="AI1010" s="340"/>
      <c r="AN1010" s="340"/>
      <c r="AO1010" s="340"/>
      <c r="AS1010" s="340"/>
      <c r="AX1010" s="340"/>
      <c r="BB1010" s="340"/>
      <c r="BD1010" s="339"/>
    </row>
    <row r="1011" spans="7:56" s="338" customFormat="1">
      <c r="G1011" s="340"/>
      <c r="L1011" s="340"/>
      <c r="P1011" s="340"/>
      <c r="U1011" s="340"/>
      <c r="V1011" s="340"/>
      <c r="Z1011" s="340"/>
      <c r="AE1011" s="340"/>
      <c r="AI1011" s="340"/>
      <c r="AN1011" s="340"/>
      <c r="AO1011" s="340"/>
      <c r="AS1011" s="340"/>
      <c r="AX1011" s="340"/>
      <c r="BB1011" s="340"/>
      <c r="BD1011" s="339"/>
    </row>
    <row r="1012" spans="7:56" s="338" customFormat="1">
      <c r="G1012" s="340"/>
      <c r="L1012" s="340"/>
      <c r="P1012" s="340"/>
      <c r="U1012" s="340"/>
      <c r="V1012" s="340"/>
      <c r="Z1012" s="340"/>
      <c r="AE1012" s="340"/>
      <c r="AI1012" s="340"/>
      <c r="AN1012" s="340"/>
      <c r="AO1012" s="340"/>
      <c r="AS1012" s="340"/>
      <c r="AX1012" s="340"/>
      <c r="BB1012" s="340"/>
      <c r="BD1012" s="339"/>
    </row>
    <row r="1013" spans="7:56" s="338" customFormat="1">
      <c r="G1013" s="340"/>
      <c r="L1013" s="340"/>
      <c r="P1013" s="340"/>
      <c r="U1013" s="340"/>
      <c r="V1013" s="340"/>
      <c r="Z1013" s="340"/>
      <c r="AE1013" s="340"/>
      <c r="AI1013" s="340"/>
      <c r="AN1013" s="340"/>
      <c r="AO1013" s="340"/>
      <c r="AS1013" s="340"/>
      <c r="AX1013" s="340"/>
      <c r="BB1013" s="340"/>
      <c r="BD1013" s="339"/>
    </row>
    <row r="1014" spans="7:56" s="338" customFormat="1">
      <c r="G1014" s="340"/>
      <c r="L1014" s="340"/>
      <c r="P1014" s="340"/>
      <c r="U1014" s="340"/>
      <c r="V1014" s="340"/>
      <c r="Z1014" s="340"/>
      <c r="AE1014" s="340"/>
      <c r="AI1014" s="340"/>
      <c r="AN1014" s="340"/>
      <c r="AO1014" s="340"/>
      <c r="AS1014" s="340"/>
      <c r="AX1014" s="340"/>
      <c r="BB1014" s="340"/>
      <c r="BD1014" s="339"/>
    </row>
    <row r="1015" spans="7:56" s="338" customFormat="1">
      <c r="G1015" s="340"/>
      <c r="L1015" s="340"/>
      <c r="P1015" s="340"/>
      <c r="U1015" s="340"/>
      <c r="V1015" s="340"/>
      <c r="Z1015" s="340"/>
      <c r="AE1015" s="340"/>
      <c r="AI1015" s="340"/>
      <c r="AN1015" s="340"/>
      <c r="AO1015" s="340"/>
      <c r="AS1015" s="340"/>
      <c r="AX1015" s="340"/>
      <c r="BB1015" s="340"/>
      <c r="BD1015" s="339"/>
    </row>
    <row r="1016" spans="7:56" s="338" customFormat="1">
      <c r="G1016" s="340"/>
      <c r="L1016" s="340"/>
      <c r="P1016" s="340"/>
      <c r="U1016" s="340"/>
      <c r="V1016" s="340"/>
      <c r="Z1016" s="340"/>
      <c r="AE1016" s="340"/>
      <c r="AI1016" s="340"/>
      <c r="AN1016" s="340"/>
      <c r="AO1016" s="340"/>
      <c r="AS1016" s="340"/>
      <c r="AX1016" s="340"/>
      <c r="BB1016" s="340"/>
      <c r="BD1016" s="339"/>
    </row>
    <row r="1017" spans="7:56" s="338" customFormat="1">
      <c r="G1017" s="340"/>
      <c r="L1017" s="340"/>
      <c r="P1017" s="340"/>
      <c r="U1017" s="340"/>
      <c r="V1017" s="340"/>
      <c r="Z1017" s="340"/>
      <c r="AE1017" s="340"/>
      <c r="AI1017" s="340"/>
      <c r="AN1017" s="340"/>
      <c r="AO1017" s="340"/>
      <c r="AS1017" s="340"/>
      <c r="AX1017" s="340"/>
      <c r="BB1017" s="340"/>
      <c r="BD1017" s="339"/>
    </row>
    <row r="1018" spans="7:56" s="338" customFormat="1">
      <c r="G1018" s="340"/>
      <c r="L1018" s="340"/>
      <c r="P1018" s="340"/>
      <c r="U1018" s="340"/>
      <c r="V1018" s="340"/>
      <c r="Z1018" s="340"/>
      <c r="AE1018" s="340"/>
      <c r="AI1018" s="340"/>
      <c r="AN1018" s="340"/>
      <c r="AO1018" s="340"/>
      <c r="AS1018" s="340"/>
      <c r="AX1018" s="340"/>
      <c r="BB1018" s="340"/>
      <c r="BD1018" s="339"/>
    </row>
    <row r="1019" spans="7:56" s="338" customFormat="1">
      <c r="G1019" s="340"/>
      <c r="L1019" s="340"/>
      <c r="P1019" s="340"/>
      <c r="U1019" s="340"/>
      <c r="V1019" s="340"/>
      <c r="Z1019" s="340"/>
      <c r="AE1019" s="340"/>
      <c r="AI1019" s="340"/>
      <c r="AN1019" s="340"/>
      <c r="AO1019" s="340"/>
      <c r="AS1019" s="340"/>
      <c r="AX1019" s="340"/>
      <c r="BB1019" s="340"/>
      <c r="BD1019" s="339"/>
    </row>
    <row r="1020" spans="7:56" s="338" customFormat="1">
      <c r="G1020" s="340"/>
      <c r="L1020" s="340"/>
      <c r="P1020" s="340"/>
      <c r="U1020" s="340"/>
      <c r="V1020" s="340"/>
      <c r="Z1020" s="340"/>
      <c r="AE1020" s="340"/>
      <c r="AI1020" s="340"/>
      <c r="AN1020" s="340"/>
      <c r="AO1020" s="340"/>
      <c r="AS1020" s="340"/>
      <c r="AX1020" s="340"/>
      <c r="BB1020" s="340"/>
      <c r="BD1020" s="339"/>
    </row>
    <row r="1021" spans="7:56" s="338" customFormat="1">
      <c r="G1021" s="340"/>
      <c r="L1021" s="340"/>
      <c r="P1021" s="340"/>
      <c r="U1021" s="340"/>
      <c r="V1021" s="340"/>
      <c r="Z1021" s="340"/>
      <c r="AE1021" s="340"/>
      <c r="AI1021" s="340"/>
      <c r="AN1021" s="340"/>
      <c r="AO1021" s="340"/>
      <c r="AS1021" s="340"/>
      <c r="AX1021" s="340"/>
      <c r="BB1021" s="340"/>
      <c r="BD1021" s="339"/>
    </row>
    <row r="1022" spans="7:56" s="338" customFormat="1">
      <c r="G1022" s="340"/>
      <c r="L1022" s="340"/>
      <c r="P1022" s="340"/>
      <c r="U1022" s="340"/>
      <c r="V1022" s="340"/>
      <c r="Z1022" s="340"/>
      <c r="AE1022" s="340"/>
      <c r="AI1022" s="340"/>
      <c r="AN1022" s="340"/>
      <c r="AO1022" s="340"/>
      <c r="AS1022" s="340"/>
      <c r="AX1022" s="340"/>
      <c r="BB1022" s="340"/>
      <c r="BD1022" s="339"/>
    </row>
    <row r="1023" spans="7:56" s="338" customFormat="1">
      <c r="G1023" s="340"/>
      <c r="L1023" s="340"/>
      <c r="P1023" s="340"/>
      <c r="U1023" s="340"/>
      <c r="V1023" s="340"/>
      <c r="Z1023" s="340"/>
      <c r="AE1023" s="340"/>
      <c r="AI1023" s="340"/>
      <c r="AN1023" s="340"/>
      <c r="AO1023" s="340"/>
      <c r="AS1023" s="340"/>
      <c r="AX1023" s="340"/>
      <c r="BB1023" s="340"/>
      <c r="BD1023" s="339"/>
    </row>
    <row r="1024" spans="7:56" s="338" customFormat="1">
      <c r="G1024" s="340"/>
      <c r="L1024" s="340"/>
      <c r="P1024" s="340"/>
      <c r="U1024" s="340"/>
      <c r="V1024" s="340"/>
      <c r="Z1024" s="340"/>
      <c r="AE1024" s="340"/>
      <c r="AI1024" s="340"/>
      <c r="AN1024" s="340"/>
      <c r="AO1024" s="340"/>
      <c r="AS1024" s="340"/>
      <c r="AX1024" s="340"/>
      <c r="BB1024" s="340"/>
      <c r="BD1024" s="339"/>
    </row>
    <row r="1025" spans="7:56" s="338" customFormat="1">
      <c r="G1025" s="340"/>
      <c r="L1025" s="340"/>
      <c r="P1025" s="340"/>
      <c r="U1025" s="340"/>
      <c r="V1025" s="340"/>
      <c r="Z1025" s="340"/>
      <c r="AE1025" s="340"/>
      <c r="AI1025" s="340"/>
      <c r="AN1025" s="340"/>
      <c r="AO1025" s="340"/>
      <c r="AS1025" s="340"/>
      <c r="AX1025" s="340"/>
      <c r="BB1025" s="340"/>
      <c r="BD1025" s="339"/>
    </row>
    <row r="1026" spans="7:56" s="338" customFormat="1">
      <c r="G1026" s="340"/>
      <c r="L1026" s="340"/>
      <c r="P1026" s="340"/>
      <c r="U1026" s="340"/>
      <c r="V1026" s="340"/>
      <c r="Z1026" s="340"/>
      <c r="AE1026" s="340"/>
      <c r="AI1026" s="340"/>
      <c r="AN1026" s="340"/>
      <c r="AO1026" s="340"/>
      <c r="AS1026" s="340"/>
      <c r="AX1026" s="340"/>
      <c r="BB1026" s="340"/>
      <c r="BD1026" s="339"/>
    </row>
    <row r="1027" spans="7:56" s="338" customFormat="1">
      <c r="G1027" s="340"/>
      <c r="L1027" s="340"/>
      <c r="P1027" s="340"/>
      <c r="U1027" s="340"/>
      <c r="V1027" s="340"/>
      <c r="Z1027" s="340"/>
      <c r="AE1027" s="340"/>
      <c r="AI1027" s="340"/>
      <c r="AN1027" s="340"/>
      <c r="AO1027" s="340"/>
      <c r="AS1027" s="340"/>
      <c r="AX1027" s="340"/>
      <c r="BB1027" s="340"/>
      <c r="BD1027" s="339"/>
    </row>
    <row r="1028" spans="7:56" s="338" customFormat="1">
      <c r="G1028" s="340"/>
      <c r="L1028" s="340"/>
      <c r="P1028" s="340"/>
      <c r="U1028" s="340"/>
      <c r="V1028" s="340"/>
      <c r="Z1028" s="340"/>
      <c r="AE1028" s="340"/>
      <c r="AI1028" s="340"/>
      <c r="AN1028" s="340"/>
      <c r="AO1028" s="340"/>
      <c r="AS1028" s="340"/>
      <c r="AX1028" s="340"/>
      <c r="BB1028" s="340"/>
      <c r="BD1028" s="339"/>
    </row>
    <row r="1029" spans="7:56" s="338" customFormat="1">
      <c r="G1029" s="340"/>
      <c r="L1029" s="340"/>
      <c r="P1029" s="340"/>
      <c r="U1029" s="340"/>
      <c r="V1029" s="340"/>
      <c r="Z1029" s="340"/>
      <c r="AE1029" s="340"/>
      <c r="AI1029" s="340"/>
      <c r="AN1029" s="340"/>
      <c r="AO1029" s="340"/>
      <c r="AS1029" s="340"/>
      <c r="AX1029" s="340"/>
      <c r="BB1029" s="340"/>
      <c r="BD1029" s="339"/>
    </row>
    <row r="1030" spans="7:56" s="338" customFormat="1">
      <c r="G1030" s="340"/>
      <c r="L1030" s="340"/>
      <c r="P1030" s="340"/>
      <c r="U1030" s="340"/>
      <c r="V1030" s="340"/>
      <c r="Z1030" s="340"/>
      <c r="AE1030" s="340"/>
      <c r="AI1030" s="340"/>
      <c r="AN1030" s="340"/>
      <c r="AO1030" s="340"/>
      <c r="AS1030" s="340"/>
      <c r="AX1030" s="340"/>
      <c r="BB1030" s="340"/>
      <c r="BD1030" s="339"/>
    </row>
    <row r="1031" spans="7:56" s="338" customFormat="1">
      <c r="G1031" s="340"/>
      <c r="L1031" s="340"/>
      <c r="P1031" s="340"/>
      <c r="U1031" s="340"/>
      <c r="V1031" s="340"/>
      <c r="Z1031" s="340"/>
      <c r="AE1031" s="340"/>
      <c r="AI1031" s="340"/>
      <c r="AN1031" s="340"/>
      <c r="AO1031" s="340"/>
      <c r="AS1031" s="340"/>
      <c r="AX1031" s="340"/>
      <c r="BB1031" s="340"/>
      <c r="BD1031" s="339"/>
    </row>
    <row r="1032" spans="7:56" s="338" customFormat="1">
      <c r="G1032" s="340"/>
      <c r="L1032" s="340"/>
      <c r="P1032" s="340"/>
      <c r="U1032" s="340"/>
      <c r="V1032" s="340"/>
      <c r="Z1032" s="340"/>
      <c r="AE1032" s="340"/>
      <c r="AI1032" s="340"/>
      <c r="AN1032" s="340"/>
      <c r="AO1032" s="340"/>
      <c r="AS1032" s="340"/>
      <c r="AX1032" s="340"/>
      <c r="BB1032" s="340"/>
      <c r="BD1032" s="339"/>
    </row>
    <row r="1033" spans="7:56" s="338" customFormat="1">
      <c r="G1033" s="340"/>
      <c r="L1033" s="340"/>
      <c r="P1033" s="340"/>
      <c r="U1033" s="340"/>
      <c r="V1033" s="340"/>
      <c r="Z1033" s="340"/>
      <c r="AE1033" s="340"/>
      <c r="AI1033" s="340"/>
      <c r="AN1033" s="340"/>
      <c r="AO1033" s="340"/>
      <c r="AS1033" s="340"/>
      <c r="AX1033" s="340"/>
      <c r="BB1033" s="340"/>
      <c r="BD1033" s="339"/>
    </row>
    <row r="1034" spans="7:56" s="338" customFormat="1">
      <c r="G1034" s="340"/>
      <c r="L1034" s="340"/>
      <c r="P1034" s="340"/>
      <c r="U1034" s="340"/>
      <c r="V1034" s="340"/>
      <c r="Z1034" s="340"/>
      <c r="AE1034" s="340"/>
      <c r="AI1034" s="340"/>
      <c r="AN1034" s="340"/>
      <c r="AO1034" s="340"/>
      <c r="AS1034" s="340"/>
      <c r="AX1034" s="340"/>
      <c r="BB1034" s="340"/>
      <c r="BD1034" s="339"/>
    </row>
    <row r="1035" spans="7:56" s="338" customFormat="1">
      <c r="G1035" s="340"/>
      <c r="L1035" s="340"/>
      <c r="P1035" s="340"/>
      <c r="U1035" s="340"/>
      <c r="V1035" s="340"/>
      <c r="Z1035" s="340"/>
      <c r="AE1035" s="340"/>
      <c r="AI1035" s="340"/>
      <c r="AN1035" s="340"/>
      <c r="AO1035" s="340"/>
      <c r="AS1035" s="340"/>
      <c r="AX1035" s="340"/>
      <c r="BB1035" s="340"/>
      <c r="BD1035" s="339"/>
    </row>
    <row r="1036" spans="7:56" s="338" customFormat="1">
      <c r="G1036" s="340"/>
      <c r="L1036" s="340"/>
      <c r="P1036" s="340"/>
      <c r="U1036" s="340"/>
      <c r="V1036" s="340"/>
      <c r="Z1036" s="340"/>
      <c r="AE1036" s="340"/>
      <c r="AI1036" s="340"/>
      <c r="AN1036" s="340"/>
      <c r="AO1036" s="340"/>
      <c r="AS1036" s="340"/>
      <c r="AX1036" s="340"/>
      <c r="BB1036" s="340"/>
      <c r="BD1036" s="339"/>
    </row>
    <row r="1037" spans="7:56" s="338" customFormat="1">
      <c r="G1037" s="340"/>
      <c r="L1037" s="340"/>
      <c r="P1037" s="340"/>
      <c r="U1037" s="340"/>
      <c r="V1037" s="340"/>
      <c r="Z1037" s="340"/>
      <c r="AE1037" s="340"/>
      <c r="AI1037" s="340"/>
      <c r="AN1037" s="340"/>
      <c r="AO1037" s="340"/>
      <c r="AS1037" s="340"/>
      <c r="AX1037" s="340"/>
      <c r="BB1037" s="340"/>
      <c r="BD1037" s="339"/>
    </row>
    <row r="1038" spans="7:56" s="338" customFormat="1">
      <c r="G1038" s="340"/>
      <c r="L1038" s="340"/>
      <c r="P1038" s="340"/>
      <c r="U1038" s="340"/>
      <c r="V1038" s="340"/>
      <c r="Z1038" s="340"/>
      <c r="AE1038" s="340"/>
      <c r="AI1038" s="340"/>
      <c r="AN1038" s="340"/>
      <c r="AO1038" s="340"/>
      <c r="AS1038" s="340"/>
      <c r="AX1038" s="340"/>
      <c r="BB1038" s="340"/>
      <c r="BD1038" s="339"/>
    </row>
    <row r="1039" spans="7:56" s="338" customFormat="1">
      <c r="G1039" s="340"/>
      <c r="L1039" s="340"/>
      <c r="P1039" s="340"/>
      <c r="U1039" s="340"/>
      <c r="V1039" s="340"/>
      <c r="Z1039" s="340"/>
      <c r="AE1039" s="340"/>
      <c r="AI1039" s="340"/>
      <c r="AN1039" s="340"/>
      <c r="AO1039" s="340"/>
      <c r="AS1039" s="340"/>
      <c r="AX1039" s="340"/>
      <c r="BB1039" s="340"/>
      <c r="BD1039" s="339"/>
    </row>
    <row r="1040" spans="7:56" s="338" customFormat="1">
      <c r="G1040" s="340"/>
      <c r="L1040" s="340"/>
      <c r="P1040" s="340"/>
      <c r="U1040" s="340"/>
      <c r="V1040" s="340"/>
      <c r="Z1040" s="340"/>
      <c r="AE1040" s="340"/>
      <c r="AI1040" s="340"/>
      <c r="AN1040" s="340"/>
      <c r="AO1040" s="340"/>
      <c r="AS1040" s="340"/>
      <c r="AX1040" s="340"/>
      <c r="BB1040" s="340"/>
      <c r="BD1040" s="339"/>
    </row>
    <row r="1041" spans="7:56" s="338" customFormat="1">
      <c r="G1041" s="340"/>
      <c r="L1041" s="340"/>
      <c r="P1041" s="340"/>
      <c r="U1041" s="340"/>
      <c r="V1041" s="340"/>
      <c r="Z1041" s="340"/>
      <c r="AE1041" s="340"/>
      <c r="AI1041" s="340"/>
      <c r="AN1041" s="340"/>
      <c r="AO1041" s="340"/>
      <c r="AS1041" s="340"/>
      <c r="AX1041" s="340"/>
      <c r="BB1041" s="340"/>
      <c r="BD1041" s="339"/>
    </row>
    <row r="1042" spans="7:56" s="338" customFormat="1">
      <c r="G1042" s="340"/>
      <c r="L1042" s="340"/>
      <c r="P1042" s="340"/>
      <c r="U1042" s="340"/>
      <c r="V1042" s="340"/>
      <c r="Z1042" s="340"/>
      <c r="AE1042" s="340"/>
      <c r="AI1042" s="340"/>
      <c r="AN1042" s="340"/>
      <c r="AO1042" s="340"/>
      <c r="AS1042" s="340"/>
      <c r="AX1042" s="340"/>
      <c r="BB1042" s="340"/>
      <c r="BD1042" s="339"/>
    </row>
    <row r="1043" spans="7:56" s="338" customFormat="1">
      <c r="G1043" s="340"/>
      <c r="L1043" s="340"/>
      <c r="P1043" s="340"/>
      <c r="U1043" s="340"/>
      <c r="V1043" s="340"/>
      <c r="Z1043" s="340"/>
      <c r="AE1043" s="340"/>
      <c r="AI1043" s="340"/>
      <c r="AN1043" s="340"/>
      <c r="AO1043" s="340"/>
      <c r="AS1043" s="340"/>
      <c r="AX1043" s="340"/>
      <c r="BB1043" s="340"/>
      <c r="BD1043" s="339"/>
    </row>
    <row r="1044" spans="7:56" s="338" customFormat="1">
      <c r="G1044" s="340"/>
      <c r="L1044" s="340"/>
      <c r="P1044" s="340"/>
      <c r="U1044" s="340"/>
      <c r="V1044" s="340"/>
      <c r="Z1044" s="340"/>
      <c r="AE1044" s="340"/>
      <c r="AI1044" s="340"/>
      <c r="AN1044" s="340"/>
      <c r="AO1044" s="340"/>
      <c r="AS1044" s="340"/>
      <c r="AX1044" s="340"/>
      <c r="BB1044" s="340"/>
      <c r="BD1044" s="339"/>
    </row>
    <row r="1045" spans="7:56" s="338" customFormat="1">
      <c r="G1045" s="340"/>
      <c r="L1045" s="340"/>
      <c r="P1045" s="340"/>
      <c r="U1045" s="340"/>
      <c r="V1045" s="340"/>
      <c r="Z1045" s="340"/>
      <c r="AE1045" s="340"/>
      <c r="AI1045" s="340"/>
      <c r="AN1045" s="340"/>
      <c r="AO1045" s="340"/>
      <c r="AS1045" s="340"/>
      <c r="AX1045" s="340"/>
      <c r="BB1045" s="340"/>
      <c r="BD1045" s="339"/>
    </row>
    <row r="1046" spans="7:56" s="338" customFormat="1">
      <c r="G1046" s="340"/>
      <c r="L1046" s="340"/>
      <c r="P1046" s="340"/>
      <c r="U1046" s="340"/>
      <c r="V1046" s="340"/>
      <c r="Z1046" s="340"/>
      <c r="AE1046" s="340"/>
      <c r="AI1046" s="340"/>
      <c r="AN1046" s="340"/>
      <c r="AO1046" s="340"/>
      <c r="AS1046" s="340"/>
      <c r="AX1046" s="340"/>
      <c r="BB1046" s="340"/>
      <c r="BD1046" s="339"/>
    </row>
    <row r="1047" spans="7:56" s="338" customFormat="1">
      <c r="G1047" s="340"/>
      <c r="L1047" s="340"/>
      <c r="P1047" s="340"/>
      <c r="U1047" s="340"/>
      <c r="V1047" s="340"/>
      <c r="Z1047" s="340"/>
      <c r="AE1047" s="340"/>
      <c r="AI1047" s="340"/>
      <c r="AN1047" s="340"/>
      <c r="AO1047" s="340"/>
      <c r="AS1047" s="340"/>
      <c r="AX1047" s="340"/>
      <c r="BB1047" s="340"/>
      <c r="BD1047" s="339"/>
    </row>
    <row r="1048" spans="7:56" s="338" customFormat="1">
      <c r="G1048" s="340"/>
      <c r="L1048" s="340"/>
      <c r="P1048" s="340"/>
      <c r="U1048" s="340"/>
      <c r="V1048" s="340"/>
      <c r="Z1048" s="340"/>
      <c r="AE1048" s="340"/>
      <c r="AI1048" s="340"/>
      <c r="AN1048" s="340"/>
      <c r="AO1048" s="340"/>
      <c r="AS1048" s="340"/>
      <c r="AX1048" s="340"/>
      <c r="BB1048" s="340"/>
      <c r="BD1048" s="339"/>
    </row>
    <row r="1049" spans="7:56" s="338" customFormat="1">
      <c r="G1049" s="340"/>
      <c r="L1049" s="340"/>
      <c r="P1049" s="340"/>
      <c r="U1049" s="340"/>
      <c r="V1049" s="340"/>
      <c r="Z1049" s="340"/>
      <c r="AE1049" s="340"/>
      <c r="AI1049" s="340"/>
      <c r="AN1049" s="340"/>
      <c r="AO1049" s="340"/>
      <c r="AS1049" s="340"/>
      <c r="AX1049" s="340"/>
      <c r="BB1049" s="340"/>
      <c r="BD1049" s="339"/>
    </row>
    <row r="1050" spans="7:56" s="338" customFormat="1">
      <c r="G1050" s="340"/>
      <c r="L1050" s="340"/>
      <c r="P1050" s="340"/>
      <c r="U1050" s="340"/>
      <c r="V1050" s="340"/>
      <c r="Z1050" s="340"/>
      <c r="AE1050" s="340"/>
      <c r="AI1050" s="340"/>
      <c r="AN1050" s="340"/>
      <c r="AO1050" s="340"/>
      <c r="AS1050" s="340"/>
      <c r="AX1050" s="340"/>
      <c r="BB1050" s="340"/>
      <c r="BD1050" s="339"/>
    </row>
    <row r="1051" spans="7:56" s="338" customFormat="1">
      <c r="G1051" s="340"/>
      <c r="L1051" s="340"/>
      <c r="P1051" s="340"/>
      <c r="U1051" s="340"/>
      <c r="V1051" s="340"/>
      <c r="Z1051" s="340"/>
      <c r="AE1051" s="340"/>
      <c r="AI1051" s="340"/>
      <c r="AN1051" s="340"/>
      <c r="AO1051" s="340"/>
      <c r="AS1051" s="340"/>
      <c r="AX1051" s="340"/>
      <c r="BB1051" s="340"/>
      <c r="BD1051" s="339"/>
    </row>
    <row r="1052" spans="7:56" s="338" customFormat="1">
      <c r="G1052" s="340"/>
      <c r="L1052" s="340"/>
      <c r="P1052" s="340"/>
      <c r="U1052" s="340"/>
      <c r="V1052" s="340"/>
      <c r="Z1052" s="340"/>
      <c r="AE1052" s="340"/>
      <c r="AI1052" s="340"/>
      <c r="AN1052" s="340"/>
      <c r="AO1052" s="340"/>
      <c r="AS1052" s="340"/>
      <c r="AX1052" s="340"/>
      <c r="BB1052" s="340"/>
      <c r="BD1052" s="339"/>
    </row>
    <row r="1053" spans="7:56" s="338" customFormat="1">
      <c r="G1053" s="340"/>
      <c r="L1053" s="340"/>
      <c r="P1053" s="340"/>
      <c r="U1053" s="340"/>
      <c r="V1053" s="340"/>
      <c r="Z1053" s="340"/>
      <c r="AE1053" s="340"/>
      <c r="AI1053" s="340"/>
      <c r="AN1053" s="340"/>
      <c r="AO1053" s="340"/>
      <c r="AS1053" s="340"/>
      <c r="AX1053" s="340"/>
      <c r="BB1053" s="340"/>
      <c r="BD1053" s="339"/>
    </row>
    <row r="1054" spans="7:56" s="338" customFormat="1">
      <c r="G1054" s="340"/>
      <c r="L1054" s="340"/>
      <c r="P1054" s="340"/>
      <c r="U1054" s="340"/>
      <c r="V1054" s="340"/>
      <c r="Z1054" s="340"/>
      <c r="AE1054" s="340"/>
      <c r="AI1054" s="340"/>
      <c r="AN1054" s="340"/>
      <c r="AO1054" s="340"/>
      <c r="AS1054" s="340"/>
      <c r="AX1054" s="340"/>
      <c r="BB1054" s="340"/>
      <c r="BD1054" s="339"/>
    </row>
    <row r="1055" spans="7:56" s="338" customFormat="1">
      <c r="G1055" s="340"/>
      <c r="L1055" s="340"/>
      <c r="P1055" s="340"/>
      <c r="U1055" s="340"/>
      <c r="V1055" s="340"/>
      <c r="Z1055" s="340"/>
      <c r="AE1055" s="340"/>
      <c r="AI1055" s="340"/>
      <c r="AN1055" s="340"/>
      <c r="AO1055" s="340"/>
      <c r="AS1055" s="340"/>
      <c r="AX1055" s="340"/>
      <c r="BB1055" s="340"/>
      <c r="BD1055" s="339"/>
    </row>
    <row r="1056" spans="7:56" s="338" customFormat="1">
      <c r="G1056" s="340"/>
      <c r="L1056" s="340"/>
      <c r="P1056" s="340"/>
      <c r="U1056" s="340"/>
      <c r="V1056" s="340"/>
      <c r="Z1056" s="340"/>
      <c r="AE1056" s="340"/>
      <c r="AI1056" s="340"/>
      <c r="AN1056" s="340"/>
      <c r="AO1056" s="340"/>
      <c r="AS1056" s="340"/>
      <c r="AX1056" s="340"/>
      <c r="BB1056" s="340"/>
      <c r="BD1056" s="339"/>
    </row>
    <row r="1057" spans="7:56" s="338" customFormat="1">
      <c r="G1057" s="340"/>
      <c r="L1057" s="340"/>
      <c r="P1057" s="340"/>
      <c r="U1057" s="340"/>
      <c r="V1057" s="340"/>
      <c r="Z1057" s="340"/>
      <c r="AE1057" s="340"/>
      <c r="AI1057" s="340"/>
      <c r="AN1057" s="340"/>
      <c r="AO1057" s="340"/>
      <c r="AS1057" s="340"/>
      <c r="AX1057" s="340"/>
      <c r="BB1057" s="340"/>
      <c r="BD1057" s="339"/>
    </row>
    <row r="1058" spans="7:56" s="338" customFormat="1">
      <c r="G1058" s="340"/>
      <c r="L1058" s="340"/>
      <c r="P1058" s="340"/>
      <c r="U1058" s="340"/>
      <c r="V1058" s="340"/>
      <c r="Z1058" s="340"/>
      <c r="AE1058" s="340"/>
      <c r="AI1058" s="340"/>
      <c r="AN1058" s="340"/>
      <c r="AO1058" s="340"/>
      <c r="AS1058" s="340"/>
      <c r="AX1058" s="340"/>
      <c r="BB1058" s="340"/>
      <c r="BD1058" s="339"/>
    </row>
    <row r="1059" spans="7:56" s="338" customFormat="1">
      <c r="G1059" s="340"/>
      <c r="L1059" s="340"/>
      <c r="P1059" s="340"/>
      <c r="U1059" s="340"/>
      <c r="V1059" s="340"/>
      <c r="Z1059" s="340"/>
      <c r="AE1059" s="340"/>
      <c r="AI1059" s="340"/>
      <c r="AN1059" s="340"/>
      <c r="AO1059" s="340"/>
      <c r="AS1059" s="340"/>
      <c r="AX1059" s="340"/>
      <c r="BB1059" s="340"/>
      <c r="BD1059" s="339"/>
    </row>
    <row r="1060" spans="7:56" s="338" customFormat="1">
      <c r="G1060" s="340"/>
      <c r="L1060" s="340"/>
      <c r="P1060" s="340"/>
      <c r="U1060" s="340"/>
      <c r="V1060" s="340"/>
      <c r="Z1060" s="340"/>
      <c r="AE1060" s="340"/>
      <c r="AI1060" s="340"/>
      <c r="AN1060" s="340"/>
      <c r="AO1060" s="340"/>
      <c r="AS1060" s="340"/>
      <c r="AX1060" s="340"/>
      <c r="BB1060" s="340"/>
      <c r="BD1060" s="339"/>
    </row>
    <row r="1061" spans="7:56" s="338" customFormat="1">
      <c r="G1061" s="340"/>
      <c r="L1061" s="340"/>
      <c r="P1061" s="340"/>
      <c r="U1061" s="340"/>
      <c r="V1061" s="340"/>
      <c r="Z1061" s="340"/>
      <c r="AE1061" s="340"/>
      <c r="AI1061" s="340"/>
      <c r="AN1061" s="340"/>
      <c r="AO1061" s="340"/>
      <c r="AS1061" s="340"/>
      <c r="AX1061" s="340"/>
      <c r="BB1061" s="340"/>
      <c r="BD1061" s="339"/>
    </row>
    <row r="1062" spans="7:56" s="338" customFormat="1">
      <c r="G1062" s="340"/>
      <c r="L1062" s="340"/>
      <c r="P1062" s="340"/>
      <c r="U1062" s="340"/>
      <c r="V1062" s="340"/>
      <c r="Z1062" s="340"/>
      <c r="AE1062" s="340"/>
      <c r="AI1062" s="340"/>
      <c r="AN1062" s="340"/>
      <c r="AO1062" s="340"/>
      <c r="AS1062" s="340"/>
      <c r="AX1062" s="340"/>
      <c r="BB1062" s="340"/>
      <c r="BD1062" s="339"/>
    </row>
    <row r="1063" spans="7:56" s="338" customFormat="1">
      <c r="G1063" s="340"/>
      <c r="L1063" s="340"/>
      <c r="P1063" s="340"/>
      <c r="U1063" s="340"/>
      <c r="V1063" s="340"/>
      <c r="Z1063" s="340"/>
      <c r="AE1063" s="340"/>
      <c r="AI1063" s="340"/>
      <c r="AN1063" s="340"/>
      <c r="AO1063" s="340"/>
      <c r="AS1063" s="340"/>
      <c r="AX1063" s="340"/>
      <c r="BB1063" s="340"/>
      <c r="BD1063" s="339"/>
    </row>
    <row r="1064" spans="7:56" s="338" customFormat="1">
      <c r="G1064" s="340"/>
      <c r="L1064" s="340"/>
      <c r="P1064" s="340"/>
      <c r="U1064" s="340"/>
      <c r="V1064" s="340"/>
      <c r="Z1064" s="340"/>
      <c r="AE1064" s="340"/>
      <c r="AI1064" s="340"/>
      <c r="AN1064" s="340"/>
      <c r="AO1064" s="340"/>
      <c r="AS1064" s="340"/>
      <c r="AX1064" s="340"/>
      <c r="BB1064" s="340"/>
      <c r="BD1064" s="339"/>
    </row>
    <row r="1065" spans="7:56" s="338" customFormat="1">
      <c r="G1065" s="340"/>
      <c r="L1065" s="340"/>
      <c r="P1065" s="340"/>
      <c r="U1065" s="340"/>
      <c r="V1065" s="340"/>
      <c r="Z1065" s="340"/>
      <c r="AE1065" s="340"/>
      <c r="AI1065" s="340"/>
      <c r="AN1065" s="340"/>
      <c r="AO1065" s="340"/>
      <c r="AS1065" s="340"/>
      <c r="AX1065" s="340"/>
      <c r="BB1065" s="340"/>
      <c r="BD1065" s="339"/>
    </row>
    <row r="1066" spans="7:56" s="338" customFormat="1">
      <c r="G1066" s="340"/>
      <c r="L1066" s="340"/>
      <c r="P1066" s="340"/>
      <c r="U1066" s="340"/>
      <c r="V1066" s="340"/>
      <c r="Z1066" s="340"/>
      <c r="AE1066" s="340"/>
      <c r="AI1066" s="340"/>
      <c r="AN1066" s="340"/>
      <c r="AO1066" s="340"/>
      <c r="AS1066" s="340"/>
      <c r="AX1066" s="340"/>
      <c r="BB1066" s="340"/>
      <c r="BD1066" s="339"/>
    </row>
    <row r="1067" spans="7:56" s="338" customFormat="1">
      <c r="G1067" s="340"/>
      <c r="L1067" s="340"/>
      <c r="P1067" s="340"/>
      <c r="U1067" s="340"/>
      <c r="V1067" s="340"/>
      <c r="Z1067" s="340"/>
      <c r="AE1067" s="340"/>
      <c r="AI1067" s="340"/>
      <c r="AN1067" s="340"/>
      <c r="AO1067" s="340"/>
      <c r="AS1067" s="340"/>
      <c r="AX1067" s="340"/>
      <c r="BB1067" s="340"/>
      <c r="BD1067" s="339"/>
    </row>
    <row r="1068" spans="7:56" s="338" customFormat="1">
      <c r="G1068" s="340"/>
      <c r="L1068" s="340"/>
      <c r="P1068" s="340"/>
      <c r="U1068" s="340"/>
      <c r="V1068" s="340"/>
      <c r="Z1068" s="340"/>
      <c r="AE1068" s="340"/>
      <c r="AI1068" s="340"/>
      <c r="AN1068" s="340"/>
      <c r="AO1068" s="340"/>
      <c r="AS1068" s="340"/>
      <c r="AX1068" s="340"/>
      <c r="BB1068" s="340"/>
      <c r="BD1068" s="339"/>
    </row>
    <row r="1069" spans="7:56" s="338" customFormat="1">
      <c r="G1069" s="340"/>
      <c r="L1069" s="340"/>
      <c r="P1069" s="340"/>
      <c r="U1069" s="340"/>
      <c r="V1069" s="340"/>
      <c r="Z1069" s="340"/>
      <c r="AE1069" s="340"/>
      <c r="AI1069" s="340"/>
      <c r="AN1069" s="340"/>
      <c r="AO1069" s="340"/>
      <c r="AS1069" s="340"/>
      <c r="AX1069" s="340"/>
      <c r="BB1069" s="340"/>
      <c r="BD1069" s="339"/>
    </row>
    <row r="1070" spans="7:56" s="338" customFormat="1">
      <c r="G1070" s="340"/>
      <c r="L1070" s="340"/>
      <c r="P1070" s="340"/>
      <c r="U1070" s="340"/>
      <c r="V1070" s="340"/>
      <c r="Z1070" s="340"/>
      <c r="AE1070" s="340"/>
      <c r="AI1070" s="340"/>
      <c r="AN1070" s="340"/>
      <c r="AO1070" s="340"/>
      <c r="AS1070" s="340"/>
      <c r="AX1070" s="340"/>
      <c r="BB1070" s="340"/>
      <c r="BD1070" s="339"/>
    </row>
    <row r="1071" spans="7:56" s="338" customFormat="1">
      <c r="G1071" s="340"/>
      <c r="L1071" s="340"/>
      <c r="P1071" s="340"/>
      <c r="U1071" s="340"/>
      <c r="V1071" s="340"/>
      <c r="Z1071" s="340"/>
      <c r="AE1071" s="340"/>
      <c r="AI1071" s="340"/>
      <c r="AN1071" s="340"/>
      <c r="AO1071" s="340"/>
      <c r="AS1071" s="340"/>
      <c r="AX1071" s="340"/>
      <c r="BB1071" s="340"/>
      <c r="BD1071" s="339"/>
    </row>
    <row r="1072" spans="7:56" s="338" customFormat="1">
      <c r="G1072" s="340"/>
      <c r="L1072" s="340"/>
      <c r="P1072" s="340"/>
      <c r="U1072" s="340"/>
      <c r="V1072" s="340"/>
      <c r="Z1072" s="340"/>
      <c r="AE1072" s="340"/>
      <c r="AI1072" s="340"/>
      <c r="AN1072" s="340"/>
      <c r="AO1072" s="340"/>
      <c r="AS1072" s="340"/>
      <c r="AX1072" s="340"/>
      <c r="BB1072" s="340"/>
      <c r="BD1072" s="339"/>
    </row>
    <row r="1073" spans="7:56" s="338" customFormat="1">
      <c r="G1073" s="340"/>
      <c r="L1073" s="340"/>
      <c r="P1073" s="340"/>
      <c r="U1073" s="340"/>
      <c r="V1073" s="340"/>
      <c r="Z1073" s="340"/>
      <c r="AE1073" s="340"/>
      <c r="AI1073" s="340"/>
      <c r="AN1073" s="340"/>
      <c r="AO1073" s="340"/>
      <c r="AS1073" s="340"/>
      <c r="AX1073" s="340"/>
      <c r="BB1073" s="340"/>
      <c r="BD1073" s="339"/>
    </row>
    <row r="1074" spans="7:56" s="338" customFormat="1">
      <c r="G1074" s="340"/>
      <c r="L1074" s="340"/>
      <c r="P1074" s="340"/>
      <c r="U1074" s="340"/>
      <c r="V1074" s="340"/>
      <c r="Z1074" s="340"/>
      <c r="AE1074" s="340"/>
      <c r="AI1074" s="340"/>
      <c r="AN1074" s="340"/>
      <c r="AO1074" s="340"/>
      <c r="AS1074" s="340"/>
      <c r="AX1074" s="340"/>
      <c r="BB1074" s="340"/>
      <c r="BD1074" s="339"/>
    </row>
    <row r="1075" spans="7:56" s="338" customFormat="1">
      <c r="G1075" s="340"/>
      <c r="L1075" s="340"/>
      <c r="P1075" s="340"/>
      <c r="U1075" s="340"/>
      <c r="V1075" s="340"/>
      <c r="Z1075" s="340"/>
      <c r="AE1075" s="340"/>
      <c r="AI1075" s="340"/>
      <c r="AN1075" s="340"/>
      <c r="AO1075" s="340"/>
      <c r="AS1075" s="340"/>
      <c r="AX1075" s="340"/>
      <c r="BB1075" s="340"/>
      <c r="BD1075" s="339"/>
    </row>
    <row r="1076" spans="7:56" s="338" customFormat="1">
      <c r="G1076" s="340"/>
      <c r="L1076" s="340"/>
      <c r="P1076" s="340"/>
      <c r="U1076" s="340"/>
      <c r="V1076" s="340"/>
      <c r="Z1076" s="340"/>
      <c r="AE1076" s="340"/>
      <c r="AI1076" s="340"/>
      <c r="AN1076" s="340"/>
      <c r="AO1076" s="340"/>
      <c r="AS1076" s="340"/>
      <c r="AX1076" s="340"/>
      <c r="BB1076" s="340"/>
      <c r="BD1076" s="339"/>
    </row>
    <row r="1077" spans="7:56" s="338" customFormat="1">
      <c r="G1077" s="340"/>
      <c r="L1077" s="340"/>
      <c r="P1077" s="340"/>
      <c r="U1077" s="340"/>
      <c r="V1077" s="340"/>
      <c r="Z1077" s="340"/>
      <c r="AE1077" s="340"/>
      <c r="AI1077" s="340"/>
      <c r="AN1077" s="340"/>
      <c r="AO1077" s="340"/>
      <c r="AS1077" s="340"/>
      <c r="AX1077" s="340"/>
      <c r="BB1077" s="340"/>
      <c r="BD1077" s="339"/>
    </row>
    <row r="1078" spans="7:56" s="338" customFormat="1">
      <c r="G1078" s="340"/>
      <c r="L1078" s="340"/>
      <c r="P1078" s="340"/>
      <c r="U1078" s="340"/>
      <c r="V1078" s="340"/>
      <c r="Z1078" s="340"/>
      <c r="AE1078" s="340"/>
      <c r="AI1078" s="340"/>
      <c r="AN1078" s="340"/>
      <c r="AO1078" s="340"/>
      <c r="AS1078" s="340"/>
      <c r="AX1078" s="340"/>
      <c r="BB1078" s="340"/>
      <c r="BD1078" s="339"/>
    </row>
    <row r="1079" spans="7:56" s="338" customFormat="1">
      <c r="G1079" s="340"/>
      <c r="L1079" s="340"/>
      <c r="P1079" s="340"/>
      <c r="U1079" s="340"/>
      <c r="V1079" s="340"/>
      <c r="Z1079" s="340"/>
      <c r="AE1079" s="340"/>
      <c r="AI1079" s="340"/>
      <c r="AN1079" s="340"/>
      <c r="AO1079" s="340"/>
      <c r="AS1079" s="340"/>
      <c r="AX1079" s="340"/>
      <c r="BB1079" s="340"/>
      <c r="BD1079" s="339"/>
    </row>
    <row r="1080" spans="7:56" s="338" customFormat="1">
      <c r="G1080" s="340"/>
      <c r="L1080" s="340"/>
      <c r="P1080" s="340"/>
      <c r="U1080" s="340"/>
      <c r="V1080" s="340"/>
      <c r="Z1080" s="340"/>
      <c r="AE1080" s="340"/>
      <c r="AI1080" s="340"/>
      <c r="AN1080" s="340"/>
      <c r="AO1080" s="340"/>
      <c r="AS1080" s="340"/>
      <c r="AX1080" s="340"/>
      <c r="BB1080" s="340"/>
      <c r="BD1080" s="339"/>
    </row>
    <row r="1081" spans="7:56" s="338" customFormat="1">
      <c r="G1081" s="340"/>
      <c r="L1081" s="340"/>
      <c r="P1081" s="340"/>
      <c r="U1081" s="340"/>
      <c r="V1081" s="340"/>
      <c r="Z1081" s="340"/>
      <c r="AE1081" s="340"/>
      <c r="AI1081" s="340"/>
      <c r="AN1081" s="340"/>
      <c r="AO1081" s="340"/>
      <c r="AS1081" s="340"/>
      <c r="AX1081" s="340"/>
      <c r="BB1081" s="340"/>
      <c r="BD1081" s="339"/>
    </row>
    <row r="1082" spans="7:56" s="338" customFormat="1">
      <c r="G1082" s="340"/>
      <c r="L1082" s="340"/>
      <c r="P1082" s="340"/>
      <c r="U1082" s="340"/>
      <c r="V1082" s="340"/>
      <c r="Z1082" s="340"/>
      <c r="AE1082" s="340"/>
      <c r="AI1082" s="340"/>
      <c r="AN1082" s="340"/>
      <c r="AO1082" s="340"/>
      <c r="AS1082" s="340"/>
      <c r="AX1082" s="340"/>
      <c r="BB1082" s="340"/>
      <c r="BD1082" s="339"/>
    </row>
    <row r="1083" spans="7:56" s="338" customFormat="1">
      <c r="G1083" s="340"/>
      <c r="L1083" s="340"/>
      <c r="P1083" s="340"/>
      <c r="U1083" s="340"/>
      <c r="V1083" s="340"/>
      <c r="Z1083" s="340"/>
      <c r="AE1083" s="340"/>
      <c r="AI1083" s="340"/>
      <c r="AN1083" s="340"/>
      <c r="AO1083" s="340"/>
      <c r="AS1083" s="340"/>
      <c r="AX1083" s="340"/>
      <c r="BB1083" s="340"/>
      <c r="BD1083" s="339"/>
    </row>
    <row r="1084" spans="7:56" s="338" customFormat="1">
      <c r="G1084" s="340"/>
      <c r="L1084" s="340"/>
      <c r="P1084" s="340"/>
      <c r="U1084" s="340"/>
      <c r="V1084" s="340"/>
      <c r="Z1084" s="340"/>
      <c r="AE1084" s="340"/>
      <c r="AI1084" s="340"/>
      <c r="AN1084" s="340"/>
      <c r="AO1084" s="340"/>
      <c r="AS1084" s="340"/>
      <c r="AX1084" s="340"/>
      <c r="BB1084" s="340"/>
      <c r="BD1084" s="339"/>
    </row>
    <row r="1085" spans="7:56" s="338" customFormat="1">
      <c r="G1085" s="340"/>
      <c r="L1085" s="340"/>
      <c r="P1085" s="340"/>
      <c r="U1085" s="340"/>
      <c r="V1085" s="340"/>
      <c r="Z1085" s="340"/>
      <c r="AE1085" s="340"/>
      <c r="AI1085" s="340"/>
      <c r="AN1085" s="340"/>
      <c r="AO1085" s="340"/>
      <c r="AS1085" s="340"/>
      <c r="AX1085" s="340"/>
      <c r="BB1085" s="340"/>
      <c r="BD1085" s="339"/>
    </row>
    <row r="1086" spans="7:56" s="338" customFormat="1">
      <c r="G1086" s="340"/>
      <c r="L1086" s="340"/>
      <c r="P1086" s="340"/>
      <c r="U1086" s="340"/>
      <c r="V1086" s="340"/>
      <c r="Z1086" s="340"/>
      <c r="AE1086" s="340"/>
      <c r="AI1086" s="340"/>
      <c r="AN1086" s="340"/>
      <c r="AO1086" s="340"/>
      <c r="AS1086" s="340"/>
      <c r="AX1086" s="340"/>
      <c r="BB1086" s="340"/>
      <c r="BD1086" s="339"/>
    </row>
    <row r="1087" spans="7:56" s="338" customFormat="1">
      <c r="G1087" s="340"/>
      <c r="L1087" s="340"/>
      <c r="P1087" s="340"/>
      <c r="U1087" s="340"/>
      <c r="V1087" s="340"/>
      <c r="Z1087" s="340"/>
      <c r="AE1087" s="340"/>
      <c r="AI1087" s="340"/>
      <c r="AN1087" s="340"/>
      <c r="AO1087" s="340"/>
      <c r="AS1087" s="340"/>
      <c r="AX1087" s="340"/>
      <c r="BB1087" s="340"/>
      <c r="BD1087" s="339"/>
    </row>
    <row r="1088" spans="7:56" s="338" customFormat="1">
      <c r="G1088" s="340"/>
      <c r="L1088" s="340"/>
      <c r="P1088" s="340"/>
      <c r="U1088" s="340"/>
      <c r="V1088" s="340"/>
      <c r="Z1088" s="340"/>
      <c r="AE1088" s="340"/>
      <c r="AI1088" s="340"/>
      <c r="AN1088" s="340"/>
      <c r="AO1088" s="340"/>
      <c r="AS1088" s="340"/>
      <c r="AX1088" s="340"/>
      <c r="BB1088" s="340"/>
      <c r="BD1088" s="339"/>
    </row>
    <row r="1089" spans="7:56" s="338" customFormat="1">
      <c r="G1089" s="340"/>
      <c r="L1089" s="340"/>
      <c r="P1089" s="340"/>
      <c r="U1089" s="340"/>
      <c r="V1089" s="340"/>
      <c r="Z1089" s="340"/>
      <c r="AE1089" s="340"/>
      <c r="AI1089" s="340"/>
      <c r="AN1089" s="340"/>
      <c r="AO1089" s="340"/>
      <c r="AS1089" s="340"/>
      <c r="AX1089" s="340"/>
      <c r="BB1089" s="340"/>
      <c r="BD1089" s="339"/>
    </row>
    <row r="1090" spans="7:56" s="338" customFormat="1">
      <c r="G1090" s="340"/>
      <c r="L1090" s="340"/>
      <c r="P1090" s="340"/>
      <c r="U1090" s="340"/>
      <c r="V1090" s="340"/>
      <c r="Z1090" s="340"/>
      <c r="AE1090" s="340"/>
      <c r="AI1090" s="340"/>
      <c r="AN1090" s="340"/>
      <c r="AO1090" s="340"/>
      <c r="AS1090" s="340"/>
      <c r="AX1090" s="340"/>
      <c r="BB1090" s="340"/>
      <c r="BD1090" s="339"/>
    </row>
    <row r="1091" spans="7:56" s="338" customFormat="1">
      <c r="G1091" s="340"/>
      <c r="L1091" s="340"/>
      <c r="P1091" s="340"/>
      <c r="U1091" s="340"/>
      <c r="V1091" s="340"/>
      <c r="Z1091" s="340"/>
      <c r="AE1091" s="340"/>
      <c r="AI1091" s="340"/>
      <c r="AN1091" s="340"/>
      <c r="AO1091" s="340"/>
      <c r="AS1091" s="340"/>
      <c r="AX1091" s="340"/>
      <c r="BB1091" s="340"/>
      <c r="BD1091" s="339"/>
    </row>
    <row r="1092" spans="7:56" s="338" customFormat="1">
      <c r="G1092" s="340"/>
      <c r="L1092" s="340"/>
      <c r="P1092" s="340"/>
      <c r="U1092" s="340"/>
      <c r="V1092" s="340"/>
      <c r="Z1092" s="340"/>
      <c r="AE1092" s="340"/>
      <c r="AI1092" s="340"/>
      <c r="AN1092" s="340"/>
      <c r="AO1092" s="340"/>
      <c r="AS1092" s="340"/>
      <c r="AX1092" s="340"/>
      <c r="BB1092" s="340"/>
      <c r="BD1092" s="339"/>
    </row>
    <row r="1093" spans="7:56" s="338" customFormat="1">
      <c r="G1093" s="340"/>
      <c r="L1093" s="340"/>
      <c r="P1093" s="340"/>
      <c r="U1093" s="340"/>
      <c r="V1093" s="340"/>
      <c r="Z1093" s="340"/>
      <c r="AE1093" s="340"/>
      <c r="AI1093" s="340"/>
      <c r="AN1093" s="340"/>
      <c r="AO1093" s="340"/>
      <c r="AS1093" s="340"/>
      <c r="AX1093" s="340"/>
      <c r="BB1093" s="340"/>
      <c r="BD1093" s="339"/>
    </row>
    <row r="1094" spans="7:56" s="338" customFormat="1">
      <c r="G1094" s="340"/>
      <c r="L1094" s="340"/>
      <c r="P1094" s="340"/>
      <c r="U1094" s="340"/>
      <c r="V1094" s="340"/>
      <c r="Z1094" s="340"/>
      <c r="AE1094" s="340"/>
      <c r="AI1094" s="340"/>
      <c r="AN1094" s="340"/>
      <c r="AO1094" s="340"/>
      <c r="AS1094" s="340"/>
      <c r="AX1094" s="340"/>
      <c r="BB1094" s="340"/>
      <c r="BD1094" s="339"/>
    </row>
    <row r="1095" spans="7:56" s="338" customFormat="1">
      <c r="G1095" s="340"/>
      <c r="L1095" s="340"/>
      <c r="P1095" s="340"/>
      <c r="U1095" s="340"/>
      <c r="V1095" s="340"/>
      <c r="Z1095" s="340"/>
      <c r="AE1095" s="340"/>
      <c r="AI1095" s="340"/>
      <c r="AN1095" s="340"/>
      <c r="AO1095" s="340"/>
      <c r="AS1095" s="340"/>
      <c r="AX1095" s="340"/>
      <c r="BB1095" s="340"/>
      <c r="BD1095" s="339"/>
    </row>
    <row r="1096" spans="7:56" s="338" customFormat="1">
      <c r="G1096" s="340"/>
      <c r="L1096" s="340"/>
      <c r="P1096" s="340"/>
      <c r="U1096" s="340"/>
      <c r="V1096" s="340"/>
      <c r="Z1096" s="340"/>
      <c r="AE1096" s="340"/>
      <c r="AI1096" s="340"/>
      <c r="AN1096" s="340"/>
      <c r="AO1096" s="340"/>
      <c r="AS1096" s="340"/>
      <c r="AX1096" s="340"/>
      <c r="BB1096" s="340"/>
      <c r="BD1096" s="339"/>
    </row>
    <row r="1097" spans="7:56" s="338" customFormat="1">
      <c r="G1097" s="340"/>
      <c r="L1097" s="340"/>
      <c r="P1097" s="340"/>
      <c r="U1097" s="340"/>
      <c r="V1097" s="340"/>
      <c r="Z1097" s="340"/>
      <c r="AE1097" s="340"/>
      <c r="AI1097" s="340"/>
      <c r="AN1097" s="340"/>
      <c r="AO1097" s="340"/>
      <c r="AS1097" s="340"/>
      <c r="AX1097" s="340"/>
      <c r="BB1097" s="340"/>
      <c r="BD1097" s="339"/>
    </row>
    <row r="1098" spans="7:56" s="338" customFormat="1">
      <c r="G1098" s="340"/>
      <c r="L1098" s="340"/>
      <c r="P1098" s="340"/>
      <c r="U1098" s="340"/>
      <c r="V1098" s="340"/>
      <c r="Z1098" s="340"/>
      <c r="AE1098" s="340"/>
      <c r="AI1098" s="340"/>
      <c r="AN1098" s="340"/>
      <c r="AO1098" s="340"/>
      <c r="AS1098" s="340"/>
      <c r="AX1098" s="340"/>
      <c r="BB1098" s="340"/>
      <c r="BD1098" s="339"/>
    </row>
    <row r="1099" spans="7:56" s="338" customFormat="1">
      <c r="G1099" s="340"/>
      <c r="L1099" s="340"/>
      <c r="P1099" s="340"/>
      <c r="U1099" s="340"/>
      <c r="V1099" s="340"/>
      <c r="Z1099" s="340"/>
      <c r="AE1099" s="340"/>
      <c r="AI1099" s="340"/>
      <c r="AN1099" s="340"/>
      <c r="AO1099" s="340"/>
      <c r="AS1099" s="340"/>
      <c r="AX1099" s="340"/>
      <c r="BB1099" s="340"/>
      <c r="BD1099" s="339"/>
    </row>
    <row r="1100" spans="7:56" s="338" customFormat="1">
      <c r="G1100" s="340"/>
      <c r="L1100" s="340"/>
      <c r="P1100" s="340"/>
      <c r="U1100" s="340"/>
      <c r="V1100" s="340"/>
      <c r="Z1100" s="340"/>
      <c r="AE1100" s="340"/>
      <c r="AI1100" s="340"/>
      <c r="AN1100" s="340"/>
      <c r="AO1100" s="340"/>
      <c r="AS1100" s="340"/>
      <c r="AX1100" s="340"/>
      <c r="BB1100" s="340"/>
      <c r="BD1100" s="339"/>
    </row>
    <row r="1101" spans="7:56" s="338" customFormat="1">
      <c r="G1101" s="340"/>
      <c r="L1101" s="340"/>
      <c r="P1101" s="340"/>
      <c r="U1101" s="340"/>
      <c r="V1101" s="340"/>
      <c r="Z1101" s="340"/>
      <c r="AE1101" s="340"/>
      <c r="AI1101" s="340"/>
      <c r="AN1101" s="340"/>
      <c r="AO1101" s="340"/>
      <c r="AS1101" s="340"/>
      <c r="AX1101" s="340"/>
      <c r="BB1101" s="340"/>
      <c r="BD1101" s="339"/>
    </row>
    <row r="1102" spans="7:56" s="338" customFormat="1">
      <c r="G1102" s="340"/>
      <c r="L1102" s="340"/>
      <c r="P1102" s="340"/>
      <c r="U1102" s="340"/>
      <c r="V1102" s="340"/>
      <c r="Z1102" s="340"/>
      <c r="AE1102" s="340"/>
      <c r="AI1102" s="340"/>
      <c r="AN1102" s="340"/>
      <c r="AO1102" s="340"/>
      <c r="AS1102" s="340"/>
      <c r="AX1102" s="340"/>
      <c r="BB1102" s="340"/>
      <c r="BD1102" s="339"/>
    </row>
    <row r="1103" spans="7:56" s="338" customFormat="1">
      <c r="G1103" s="340"/>
      <c r="L1103" s="340"/>
      <c r="P1103" s="340"/>
      <c r="U1103" s="340"/>
      <c r="V1103" s="340"/>
      <c r="Z1103" s="340"/>
      <c r="AE1103" s="340"/>
      <c r="AI1103" s="340"/>
      <c r="AN1103" s="340"/>
      <c r="AO1103" s="340"/>
      <c r="AS1103" s="340"/>
      <c r="AX1103" s="340"/>
      <c r="BB1103" s="340"/>
      <c r="BD1103" s="339"/>
    </row>
    <row r="1104" spans="7:56" s="338" customFormat="1">
      <c r="G1104" s="340"/>
      <c r="L1104" s="340"/>
      <c r="P1104" s="340"/>
      <c r="U1104" s="340"/>
      <c r="V1104" s="340"/>
      <c r="Z1104" s="340"/>
      <c r="AE1104" s="340"/>
      <c r="AI1104" s="340"/>
      <c r="AN1104" s="340"/>
      <c r="AO1104" s="340"/>
      <c r="AS1104" s="340"/>
      <c r="AX1104" s="340"/>
      <c r="BB1104" s="340"/>
      <c r="BD1104" s="339"/>
    </row>
    <row r="1105" spans="7:56" s="338" customFormat="1">
      <c r="G1105" s="340"/>
      <c r="L1105" s="340"/>
      <c r="P1105" s="340"/>
      <c r="U1105" s="340"/>
      <c r="V1105" s="340"/>
      <c r="Z1105" s="340"/>
      <c r="AE1105" s="340"/>
      <c r="AI1105" s="340"/>
      <c r="AN1105" s="340"/>
      <c r="AO1105" s="340"/>
      <c r="AS1105" s="340"/>
      <c r="AX1105" s="340"/>
      <c r="BB1105" s="340"/>
      <c r="BD1105" s="339"/>
    </row>
    <row r="1106" spans="7:56" s="338" customFormat="1">
      <c r="G1106" s="340"/>
      <c r="L1106" s="340"/>
      <c r="P1106" s="340"/>
      <c r="U1106" s="340"/>
      <c r="V1106" s="340"/>
      <c r="Z1106" s="340"/>
      <c r="AE1106" s="340"/>
      <c r="AI1106" s="340"/>
      <c r="AN1106" s="340"/>
      <c r="AO1106" s="340"/>
      <c r="AS1106" s="340"/>
      <c r="AX1106" s="340"/>
      <c r="BB1106" s="340"/>
      <c r="BD1106" s="339"/>
    </row>
    <row r="1107" spans="7:56" s="338" customFormat="1">
      <c r="G1107" s="340"/>
      <c r="L1107" s="340"/>
      <c r="P1107" s="340"/>
      <c r="U1107" s="340"/>
      <c r="V1107" s="340"/>
      <c r="Z1107" s="340"/>
      <c r="AE1107" s="340"/>
      <c r="AI1107" s="340"/>
      <c r="AN1107" s="340"/>
      <c r="AO1107" s="340"/>
      <c r="AS1107" s="340"/>
      <c r="AX1107" s="340"/>
      <c r="BB1107" s="340"/>
      <c r="BD1107" s="339"/>
    </row>
    <row r="1108" spans="7:56" s="338" customFormat="1">
      <c r="G1108" s="340"/>
      <c r="L1108" s="340"/>
      <c r="P1108" s="340"/>
      <c r="U1108" s="340"/>
      <c r="V1108" s="340"/>
      <c r="Z1108" s="340"/>
      <c r="AE1108" s="340"/>
      <c r="AI1108" s="340"/>
      <c r="AN1108" s="340"/>
      <c r="AO1108" s="340"/>
      <c r="AS1108" s="340"/>
      <c r="AX1108" s="340"/>
      <c r="BB1108" s="340"/>
      <c r="BD1108" s="339"/>
    </row>
    <row r="1109" spans="7:56" s="338" customFormat="1">
      <c r="G1109" s="340"/>
      <c r="L1109" s="340"/>
      <c r="P1109" s="340"/>
      <c r="U1109" s="340"/>
      <c r="V1109" s="340"/>
      <c r="Z1109" s="340"/>
      <c r="AE1109" s="340"/>
      <c r="AI1109" s="340"/>
      <c r="AN1109" s="340"/>
      <c r="AO1109" s="340"/>
      <c r="AS1109" s="340"/>
      <c r="AX1109" s="340"/>
      <c r="BB1109" s="340"/>
      <c r="BD1109" s="339"/>
    </row>
    <row r="1110" spans="7:56" s="338" customFormat="1">
      <c r="G1110" s="340"/>
      <c r="L1110" s="340"/>
      <c r="P1110" s="340"/>
      <c r="U1110" s="340"/>
      <c r="V1110" s="340"/>
      <c r="Z1110" s="340"/>
      <c r="AE1110" s="340"/>
      <c r="AI1110" s="340"/>
      <c r="AN1110" s="340"/>
      <c r="AO1110" s="340"/>
      <c r="AS1110" s="340"/>
      <c r="AX1110" s="340"/>
      <c r="BB1110" s="340"/>
      <c r="BD1110" s="339"/>
    </row>
    <row r="1111" spans="7:56" s="338" customFormat="1">
      <c r="G1111" s="340"/>
      <c r="L1111" s="340"/>
      <c r="P1111" s="340"/>
      <c r="U1111" s="340"/>
      <c r="V1111" s="340"/>
      <c r="Z1111" s="340"/>
      <c r="AE1111" s="340"/>
      <c r="AI1111" s="340"/>
      <c r="AN1111" s="340"/>
      <c r="AO1111" s="340"/>
      <c r="AS1111" s="340"/>
      <c r="AX1111" s="340"/>
      <c r="BB1111" s="340"/>
      <c r="BD1111" s="339"/>
    </row>
    <row r="1112" spans="7:56" s="338" customFormat="1">
      <c r="G1112" s="340"/>
      <c r="L1112" s="340"/>
      <c r="P1112" s="340"/>
      <c r="U1112" s="340"/>
      <c r="V1112" s="340"/>
      <c r="Z1112" s="340"/>
      <c r="AE1112" s="340"/>
      <c r="AI1112" s="340"/>
      <c r="AN1112" s="340"/>
      <c r="AO1112" s="340"/>
      <c r="AS1112" s="340"/>
      <c r="AX1112" s="340"/>
      <c r="BB1112" s="340"/>
      <c r="BD1112" s="339"/>
    </row>
    <row r="1113" spans="7:56" s="338" customFormat="1">
      <c r="G1113" s="340"/>
      <c r="L1113" s="340"/>
      <c r="P1113" s="340"/>
      <c r="U1113" s="340"/>
      <c r="V1113" s="340"/>
      <c r="Z1113" s="340"/>
      <c r="AE1113" s="340"/>
      <c r="AI1113" s="340"/>
      <c r="AN1113" s="340"/>
      <c r="AO1113" s="340"/>
      <c r="AS1113" s="340"/>
      <c r="AX1113" s="340"/>
      <c r="BB1113" s="340"/>
      <c r="BD1113" s="339"/>
    </row>
    <row r="1114" spans="7:56" s="338" customFormat="1">
      <c r="G1114" s="340"/>
      <c r="L1114" s="340"/>
      <c r="P1114" s="340"/>
      <c r="U1114" s="340"/>
      <c r="V1114" s="340"/>
      <c r="Z1114" s="340"/>
      <c r="AE1114" s="340"/>
      <c r="AI1114" s="340"/>
      <c r="AN1114" s="340"/>
      <c r="AO1114" s="340"/>
      <c r="AS1114" s="340"/>
      <c r="AX1114" s="340"/>
      <c r="BB1114" s="340"/>
      <c r="BD1114" s="339"/>
    </row>
    <row r="1115" spans="7:56" s="338" customFormat="1">
      <c r="G1115" s="340"/>
      <c r="L1115" s="340"/>
      <c r="P1115" s="340"/>
      <c r="U1115" s="340"/>
      <c r="V1115" s="340"/>
      <c r="Z1115" s="340"/>
      <c r="AE1115" s="340"/>
      <c r="AI1115" s="340"/>
      <c r="AN1115" s="340"/>
      <c r="AO1115" s="340"/>
      <c r="AS1115" s="340"/>
      <c r="AX1115" s="340"/>
      <c r="BB1115" s="340"/>
      <c r="BD1115" s="339"/>
    </row>
    <row r="1116" spans="7:56" s="338" customFormat="1">
      <c r="G1116" s="340"/>
      <c r="L1116" s="340"/>
      <c r="P1116" s="340"/>
      <c r="U1116" s="340"/>
      <c r="V1116" s="340"/>
      <c r="Z1116" s="340"/>
      <c r="AE1116" s="340"/>
      <c r="AI1116" s="340"/>
      <c r="AN1116" s="340"/>
      <c r="AO1116" s="340"/>
      <c r="AS1116" s="340"/>
      <c r="AX1116" s="340"/>
      <c r="BB1116" s="340"/>
      <c r="BD1116" s="339"/>
    </row>
    <row r="1117" spans="7:56" s="338" customFormat="1">
      <c r="G1117" s="340"/>
      <c r="L1117" s="340"/>
      <c r="P1117" s="340"/>
      <c r="U1117" s="340"/>
      <c r="V1117" s="340"/>
      <c r="Z1117" s="340"/>
      <c r="AE1117" s="340"/>
      <c r="AI1117" s="340"/>
      <c r="AN1117" s="340"/>
      <c r="AO1117" s="340"/>
      <c r="AS1117" s="340"/>
      <c r="AX1117" s="340"/>
      <c r="BB1117" s="340"/>
      <c r="BD1117" s="339"/>
    </row>
    <row r="1118" spans="7:56" s="338" customFormat="1">
      <c r="G1118" s="340"/>
      <c r="L1118" s="340"/>
      <c r="P1118" s="340"/>
      <c r="U1118" s="340"/>
      <c r="V1118" s="340"/>
      <c r="Z1118" s="340"/>
      <c r="AE1118" s="340"/>
      <c r="AI1118" s="340"/>
      <c r="AN1118" s="340"/>
      <c r="AO1118" s="340"/>
      <c r="AS1118" s="340"/>
      <c r="AX1118" s="340"/>
      <c r="BB1118" s="340"/>
      <c r="BD1118" s="339"/>
    </row>
    <row r="1119" spans="7:56" s="338" customFormat="1">
      <c r="G1119" s="340"/>
      <c r="L1119" s="340"/>
      <c r="P1119" s="340"/>
      <c r="U1119" s="340"/>
      <c r="V1119" s="340"/>
      <c r="Z1119" s="340"/>
      <c r="AE1119" s="340"/>
      <c r="AI1119" s="340"/>
      <c r="AN1119" s="340"/>
      <c r="AO1119" s="340"/>
      <c r="AS1119" s="340"/>
      <c r="AX1119" s="340"/>
      <c r="BB1119" s="340"/>
      <c r="BD1119" s="339"/>
    </row>
    <row r="1120" spans="7:56" s="338" customFormat="1">
      <c r="G1120" s="340"/>
      <c r="L1120" s="340"/>
      <c r="P1120" s="340"/>
      <c r="U1120" s="340"/>
      <c r="V1120" s="340"/>
      <c r="Z1120" s="340"/>
      <c r="AE1120" s="340"/>
      <c r="AI1120" s="340"/>
      <c r="AN1120" s="340"/>
      <c r="AO1120" s="340"/>
      <c r="AS1120" s="340"/>
      <c r="AX1120" s="340"/>
      <c r="BB1120" s="340"/>
      <c r="BD1120" s="339"/>
    </row>
    <row r="1121" spans="7:56" s="338" customFormat="1">
      <c r="G1121" s="340"/>
      <c r="L1121" s="340"/>
      <c r="P1121" s="340"/>
      <c r="U1121" s="340"/>
      <c r="V1121" s="340"/>
      <c r="Z1121" s="340"/>
      <c r="AE1121" s="340"/>
      <c r="AI1121" s="340"/>
      <c r="AN1121" s="340"/>
      <c r="AO1121" s="340"/>
      <c r="AS1121" s="340"/>
      <c r="AX1121" s="340"/>
      <c r="BB1121" s="340"/>
      <c r="BD1121" s="339"/>
    </row>
    <row r="1122" spans="7:56" s="338" customFormat="1">
      <c r="G1122" s="340"/>
      <c r="L1122" s="340"/>
      <c r="P1122" s="340"/>
      <c r="U1122" s="340"/>
      <c r="V1122" s="340"/>
      <c r="Z1122" s="340"/>
      <c r="AE1122" s="340"/>
      <c r="AI1122" s="340"/>
      <c r="AN1122" s="340"/>
      <c r="AO1122" s="340"/>
      <c r="AS1122" s="340"/>
      <c r="AX1122" s="340"/>
      <c r="BB1122" s="340"/>
      <c r="BD1122" s="339"/>
    </row>
    <row r="1123" spans="7:56" s="338" customFormat="1">
      <c r="G1123" s="340"/>
      <c r="L1123" s="340"/>
      <c r="P1123" s="340"/>
      <c r="U1123" s="340"/>
      <c r="V1123" s="340"/>
      <c r="Z1123" s="340"/>
      <c r="AE1123" s="340"/>
      <c r="AI1123" s="340"/>
      <c r="AN1123" s="340"/>
      <c r="AO1123" s="340"/>
      <c r="AS1123" s="340"/>
      <c r="AX1123" s="340"/>
      <c r="BB1123" s="340"/>
      <c r="BD1123" s="339"/>
    </row>
    <row r="1124" spans="7:56" s="338" customFormat="1">
      <c r="G1124" s="340"/>
      <c r="L1124" s="340"/>
      <c r="P1124" s="340"/>
      <c r="U1124" s="340"/>
      <c r="V1124" s="340"/>
      <c r="Z1124" s="340"/>
      <c r="AE1124" s="340"/>
      <c r="AI1124" s="340"/>
      <c r="AN1124" s="340"/>
      <c r="AO1124" s="340"/>
      <c r="AS1124" s="340"/>
      <c r="AX1124" s="340"/>
      <c r="BB1124" s="340"/>
      <c r="BD1124" s="339"/>
    </row>
    <row r="1125" spans="7:56" s="338" customFormat="1">
      <c r="G1125" s="340"/>
      <c r="L1125" s="340"/>
      <c r="P1125" s="340"/>
      <c r="U1125" s="340"/>
      <c r="V1125" s="340"/>
      <c r="Z1125" s="340"/>
      <c r="AE1125" s="340"/>
      <c r="AI1125" s="340"/>
      <c r="AN1125" s="340"/>
      <c r="AO1125" s="340"/>
      <c r="AS1125" s="340"/>
      <c r="AX1125" s="340"/>
      <c r="BB1125" s="340"/>
      <c r="BD1125" s="339"/>
    </row>
    <row r="1126" spans="7:56" s="338" customFormat="1">
      <c r="G1126" s="340"/>
      <c r="L1126" s="340"/>
      <c r="P1126" s="340"/>
      <c r="U1126" s="340"/>
      <c r="V1126" s="340"/>
      <c r="Z1126" s="340"/>
      <c r="AE1126" s="340"/>
      <c r="AI1126" s="340"/>
      <c r="AN1126" s="340"/>
      <c r="AO1126" s="340"/>
      <c r="AS1126" s="340"/>
      <c r="AX1126" s="340"/>
      <c r="BB1126" s="340"/>
      <c r="BD1126" s="339"/>
    </row>
    <row r="1127" spans="7:56" s="338" customFormat="1">
      <c r="G1127" s="340"/>
      <c r="L1127" s="340"/>
      <c r="P1127" s="340"/>
      <c r="U1127" s="340"/>
      <c r="V1127" s="340"/>
      <c r="Z1127" s="340"/>
      <c r="AE1127" s="340"/>
      <c r="AI1127" s="340"/>
      <c r="AN1127" s="340"/>
      <c r="AO1127" s="340"/>
      <c r="AS1127" s="340"/>
      <c r="AX1127" s="340"/>
      <c r="BB1127" s="340"/>
      <c r="BD1127" s="339"/>
    </row>
    <row r="1128" spans="7:56" s="338" customFormat="1">
      <c r="G1128" s="340"/>
      <c r="L1128" s="340"/>
      <c r="P1128" s="340"/>
      <c r="U1128" s="340"/>
      <c r="V1128" s="340"/>
      <c r="Z1128" s="340"/>
      <c r="AE1128" s="340"/>
      <c r="AI1128" s="340"/>
      <c r="AN1128" s="340"/>
      <c r="AO1128" s="340"/>
      <c r="AS1128" s="340"/>
      <c r="AX1128" s="340"/>
      <c r="BB1128" s="340"/>
      <c r="BD1128" s="339"/>
    </row>
    <row r="1129" spans="7:56" s="338" customFormat="1">
      <c r="G1129" s="340"/>
      <c r="L1129" s="340"/>
      <c r="P1129" s="340"/>
      <c r="U1129" s="340"/>
      <c r="V1129" s="340"/>
      <c r="Z1129" s="340"/>
      <c r="AE1129" s="340"/>
      <c r="AI1129" s="340"/>
      <c r="AN1129" s="340"/>
      <c r="AO1129" s="340"/>
      <c r="AS1129" s="340"/>
      <c r="AX1129" s="340"/>
      <c r="BB1129" s="340"/>
      <c r="BD1129" s="339"/>
    </row>
    <row r="1130" spans="7:56" s="338" customFormat="1">
      <c r="G1130" s="340"/>
      <c r="L1130" s="340"/>
      <c r="P1130" s="340"/>
      <c r="U1130" s="340"/>
      <c r="V1130" s="340"/>
      <c r="Z1130" s="340"/>
      <c r="AE1130" s="340"/>
      <c r="AI1130" s="340"/>
      <c r="AN1130" s="340"/>
      <c r="AO1130" s="340"/>
      <c r="AS1130" s="340"/>
      <c r="AX1130" s="340"/>
      <c r="BB1130" s="340"/>
      <c r="BD1130" s="339"/>
    </row>
    <row r="1131" spans="7:56" s="338" customFormat="1">
      <c r="G1131" s="340"/>
      <c r="L1131" s="340"/>
      <c r="P1131" s="340"/>
      <c r="U1131" s="340"/>
      <c r="V1131" s="340"/>
      <c r="Z1131" s="340"/>
      <c r="AE1131" s="340"/>
      <c r="AI1131" s="340"/>
      <c r="AN1131" s="340"/>
      <c r="AO1131" s="340"/>
      <c r="AS1131" s="340"/>
      <c r="AX1131" s="340"/>
      <c r="BB1131" s="340"/>
      <c r="BD1131" s="339"/>
    </row>
    <row r="1132" spans="7:56" s="338" customFormat="1">
      <c r="G1132" s="340"/>
      <c r="L1132" s="340"/>
      <c r="P1132" s="340"/>
      <c r="U1132" s="340"/>
      <c r="V1132" s="340"/>
      <c r="Z1132" s="340"/>
      <c r="AE1132" s="340"/>
      <c r="AI1132" s="340"/>
      <c r="AN1132" s="340"/>
      <c r="AO1132" s="340"/>
      <c r="AS1132" s="340"/>
      <c r="AX1132" s="340"/>
      <c r="BB1132" s="340"/>
      <c r="BD1132" s="339"/>
    </row>
    <row r="1133" spans="7:56" s="338" customFormat="1">
      <c r="G1133" s="340"/>
      <c r="L1133" s="340"/>
      <c r="P1133" s="340"/>
      <c r="U1133" s="340"/>
      <c r="V1133" s="340"/>
      <c r="Z1133" s="340"/>
      <c r="AE1133" s="340"/>
      <c r="AI1133" s="340"/>
      <c r="AN1133" s="340"/>
      <c r="AO1133" s="340"/>
      <c r="AS1133" s="340"/>
      <c r="AX1133" s="340"/>
      <c r="BB1133" s="340"/>
      <c r="BD1133" s="339"/>
    </row>
    <row r="1134" spans="7:56" s="338" customFormat="1">
      <c r="G1134" s="340"/>
      <c r="L1134" s="340"/>
      <c r="P1134" s="340"/>
      <c r="U1134" s="340"/>
      <c r="V1134" s="340"/>
      <c r="Z1134" s="340"/>
      <c r="AE1134" s="340"/>
      <c r="AI1134" s="340"/>
      <c r="AN1134" s="340"/>
      <c r="AO1134" s="340"/>
      <c r="AS1134" s="340"/>
      <c r="AX1134" s="340"/>
      <c r="BB1134" s="340"/>
      <c r="BD1134" s="339"/>
    </row>
    <row r="1135" spans="7:56" s="338" customFormat="1">
      <c r="G1135" s="340"/>
      <c r="L1135" s="340"/>
      <c r="P1135" s="340"/>
      <c r="U1135" s="340"/>
      <c r="V1135" s="340"/>
      <c r="Z1135" s="340"/>
      <c r="AE1135" s="340"/>
      <c r="AI1135" s="340"/>
      <c r="AN1135" s="340"/>
      <c r="AO1135" s="340"/>
      <c r="AS1135" s="340"/>
      <c r="AX1135" s="340"/>
      <c r="BB1135" s="340"/>
      <c r="BD1135" s="339"/>
    </row>
    <row r="1136" spans="7:56" s="338" customFormat="1">
      <c r="G1136" s="340"/>
      <c r="L1136" s="340"/>
      <c r="P1136" s="340"/>
      <c r="U1136" s="340"/>
      <c r="V1136" s="340"/>
      <c r="Z1136" s="340"/>
      <c r="AE1136" s="340"/>
      <c r="AI1136" s="340"/>
      <c r="AN1136" s="340"/>
      <c r="AO1136" s="340"/>
      <c r="AS1136" s="340"/>
      <c r="AX1136" s="340"/>
      <c r="BB1136" s="340"/>
      <c r="BD1136" s="339"/>
    </row>
    <row r="1137" spans="7:56" s="338" customFormat="1">
      <c r="G1137" s="340"/>
      <c r="L1137" s="340"/>
      <c r="P1137" s="340"/>
      <c r="U1137" s="340"/>
      <c r="V1137" s="340"/>
      <c r="Z1137" s="340"/>
      <c r="AE1137" s="340"/>
      <c r="AI1137" s="340"/>
      <c r="AN1137" s="340"/>
      <c r="AO1137" s="340"/>
      <c r="AS1137" s="340"/>
      <c r="AX1137" s="340"/>
      <c r="BB1137" s="340"/>
      <c r="BD1137" s="339"/>
    </row>
    <row r="1138" spans="7:56" s="338" customFormat="1">
      <c r="G1138" s="340"/>
      <c r="L1138" s="340"/>
      <c r="P1138" s="340"/>
      <c r="U1138" s="340"/>
      <c r="V1138" s="340"/>
      <c r="Z1138" s="340"/>
      <c r="AE1138" s="340"/>
      <c r="AI1138" s="340"/>
      <c r="AN1138" s="340"/>
      <c r="AO1138" s="340"/>
      <c r="AS1138" s="340"/>
      <c r="AX1138" s="340"/>
      <c r="BB1138" s="340"/>
      <c r="BD1138" s="339"/>
    </row>
    <row r="1139" spans="7:56" s="338" customFormat="1">
      <c r="G1139" s="340"/>
      <c r="L1139" s="340"/>
      <c r="P1139" s="340"/>
      <c r="U1139" s="340"/>
      <c r="V1139" s="340"/>
      <c r="Z1139" s="340"/>
      <c r="AE1139" s="340"/>
      <c r="AI1139" s="340"/>
      <c r="AN1139" s="340"/>
      <c r="AO1139" s="340"/>
      <c r="AS1139" s="340"/>
      <c r="AX1139" s="340"/>
      <c r="BB1139" s="340"/>
      <c r="BD1139" s="339"/>
    </row>
    <row r="1140" spans="7:56" s="338" customFormat="1">
      <c r="G1140" s="340"/>
      <c r="L1140" s="340"/>
      <c r="P1140" s="340"/>
      <c r="U1140" s="340"/>
      <c r="V1140" s="340"/>
      <c r="Z1140" s="340"/>
      <c r="AE1140" s="340"/>
      <c r="AI1140" s="340"/>
      <c r="AN1140" s="340"/>
      <c r="AO1140" s="340"/>
      <c r="AS1140" s="340"/>
      <c r="AX1140" s="340"/>
      <c r="BB1140" s="340"/>
      <c r="BD1140" s="339"/>
    </row>
    <row r="1141" spans="7:56" s="338" customFormat="1">
      <c r="G1141" s="340"/>
      <c r="L1141" s="340"/>
      <c r="P1141" s="340"/>
      <c r="U1141" s="340"/>
      <c r="V1141" s="340"/>
      <c r="Z1141" s="340"/>
      <c r="AE1141" s="340"/>
      <c r="AI1141" s="340"/>
      <c r="AN1141" s="340"/>
      <c r="AO1141" s="340"/>
      <c r="AS1141" s="340"/>
      <c r="AX1141" s="340"/>
      <c r="BB1141" s="340"/>
      <c r="BD1141" s="339"/>
    </row>
    <row r="1142" spans="7:56" s="338" customFormat="1">
      <c r="G1142" s="340"/>
      <c r="L1142" s="340"/>
      <c r="P1142" s="340"/>
      <c r="U1142" s="340"/>
      <c r="V1142" s="340"/>
      <c r="Z1142" s="340"/>
      <c r="AE1142" s="340"/>
      <c r="AI1142" s="340"/>
      <c r="AN1142" s="340"/>
      <c r="AO1142" s="340"/>
      <c r="AS1142" s="340"/>
      <c r="AX1142" s="340"/>
      <c r="BB1142" s="340"/>
      <c r="BD1142" s="339"/>
    </row>
    <row r="1143" spans="7:56" s="338" customFormat="1">
      <c r="G1143" s="340"/>
      <c r="L1143" s="340"/>
      <c r="P1143" s="340"/>
      <c r="U1143" s="340"/>
      <c r="V1143" s="340"/>
      <c r="Z1143" s="340"/>
      <c r="AE1143" s="340"/>
      <c r="AI1143" s="340"/>
      <c r="AN1143" s="340"/>
      <c r="AO1143" s="340"/>
      <c r="AS1143" s="340"/>
      <c r="AX1143" s="340"/>
      <c r="BB1143" s="340"/>
      <c r="BD1143" s="339"/>
    </row>
    <row r="1144" spans="7:56" s="338" customFormat="1">
      <c r="G1144" s="340"/>
      <c r="L1144" s="340"/>
      <c r="P1144" s="340"/>
      <c r="U1144" s="340"/>
      <c r="V1144" s="340"/>
      <c r="Z1144" s="340"/>
      <c r="AE1144" s="340"/>
      <c r="AI1144" s="340"/>
      <c r="AN1144" s="340"/>
      <c r="AO1144" s="340"/>
      <c r="AS1144" s="340"/>
      <c r="AX1144" s="340"/>
      <c r="BB1144" s="340"/>
      <c r="BD1144" s="339"/>
    </row>
    <row r="1145" spans="7:56" s="338" customFormat="1">
      <c r="G1145" s="340"/>
      <c r="L1145" s="340"/>
      <c r="P1145" s="340"/>
      <c r="U1145" s="340"/>
      <c r="V1145" s="340"/>
      <c r="Z1145" s="340"/>
      <c r="AE1145" s="340"/>
      <c r="AI1145" s="340"/>
      <c r="AN1145" s="340"/>
      <c r="AO1145" s="340"/>
      <c r="AS1145" s="340"/>
      <c r="AX1145" s="340"/>
      <c r="BB1145" s="340"/>
      <c r="BD1145" s="339"/>
    </row>
    <row r="1146" spans="7:56" s="338" customFormat="1">
      <c r="G1146" s="340"/>
      <c r="L1146" s="340"/>
      <c r="P1146" s="340"/>
      <c r="U1146" s="340"/>
      <c r="V1146" s="340"/>
      <c r="Z1146" s="340"/>
      <c r="AE1146" s="340"/>
      <c r="AI1146" s="340"/>
      <c r="AN1146" s="340"/>
      <c r="AO1146" s="340"/>
      <c r="AS1146" s="340"/>
      <c r="AX1146" s="340"/>
      <c r="BB1146" s="340"/>
      <c r="BD1146" s="339"/>
    </row>
    <row r="1147" spans="7:56" s="338" customFormat="1">
      <c r="G1147" s="340"/>
      <c r="L1147" s="340"/>
      <c r="P1147" s="340"/>
      <c r="U1147" s="340"/>
      <c r="V1147" s="340"/>
      <c r="Z1147" s="340"/>
      <c r="AE1147" s="340"/>
      <c r="AI1147" s="340"/>
      <c r="AN1147" s="340"/>
      <c r="AO1147" s="340"/>
      <c r="AS1147" s="340"/>
      <c r="AX1147" s="340"/>
      <c r="BB1147" s="340"/>
      <c r="BD1147" s="339"/>
    </row>
    <row r="1148" spans="7:56" s="338" customFormat="1">
      <c r="G1148" s="340"/>
      <c r="L1148" s="340"/>
      <c r="P1148" s="340"/>
      <c r="U1148" s="340"/>
      <c r="V1148" s="340"/>
      <c r="Z1148" s="340"/>
      <c r="AE1148" s="340"/>
      <c r="AI1148" s="340"/>
      <c r="AN1148" s="340"/>
      <c r="AO1148" s="340"/>
      <c r="AS1148" s="340"/>
      <c r="AX1148" s="340"/>
      <c r="BB1148" s="340"/>
      <c r="BD1148" s="339"/>
    </row>
    <row r="1149" spans="7:56" s="338" customFormat="1">
      <c r="G1149" s="340"/>
      <c r="L1149" s="340"/>
      <c r="P1149" s="340"/>
      <c r="U1149" s="340"/>
      <c r="V1149" s="340"/>
      <c r="Z1149" s="340"/>
      <c r="AE1149" s="340"/>
      <c r="AI1149" s="340"/>
      <c r="AN1149" s="340"/>
      <c r="AO1149" s="340"/>
      <c r="AS1149" s="340"/>
      <c r="AX1149" s="340"/>
      <c r="BB1149" s="340"/>
      <c r="BD1149" s="339"/>
    </row>
    <row r="1150" spans="7:56" s="338" customFormat="1">
      <c r="G1150" s="340"/>
      <c r="L1150" s="340"/>
      <c r="P1150" s="340"/>
      <c r="U1150" s="340"/>
      <c r="V1150" s="340"/>
      <c r="Z1150" s="340"/>
      <c r="AE1150" s="340"/>
      <c r="AI1150" s="340"/>
      <c r="AN1150" s="340"/>
      <c r="AO1150" s="340"/>
      <c r="AS1150" s="340"/>
      <c r="AX1150" s="340"/>
      <c r="BB1150" s="340"/>
      <c r="BD1150" s="339"/>
    </row>
    <row r="1151" spans="7:56" s="338" customFormat="1">
      <c r="G1151" s="340"/>
      <c r="L1151" s="340"/>
      <c r="P1151" s="340"/>
      <c r="U1151" s="340"/>
      <c r="V1151" s="340"/>
      <c r="Z1151" s="340"/>
      <c r="AE1151" s="340"/>
      <c r="AI1151" s="340"/>
      <c r="AN1151" s="340"/>
      <c r="AO1151" s="340"/>
      <c r="AS1151" s="340"/>
      <c r="AX1151" s="340"/>
      <c r="BB1151" s="340"/>
      <c r="BD1151" s="339"/>
    </row>
    <row r="1152" spans="7:56" s="338" customFormat="1">
      <c r="G1152" s="340"/>
      <c r="L1152" s="340"/>
      <c r="P1152" s="340"/>
      <c r="U1152" s="340"/>
      <c r="V1152" s="340"/>
      <c r="Z1152" s="340"/>
      <c r="AE1152" s="340"/>
      <c r="AI1152" s="340"/>
      <c r="AN1152" s="340"/>
      <c r="AO1152" s="340"/>
      <c r="AS1152" s="340"/>
      <c r="AX1152" s="340"/>
      <c r="BB1152" s="340"/>
      <c r="BD1152" s="339"/>
    </row>
    <row r="1153" spans="7:56" s="338" customFormat="1">
      <c r="G1153" s="340"/>
      <c r="L1153" s="340"/>
      <c r="P1153" s="340"/>
      <c r="U1153" s="340"/>
      <c r="V1153" s="340"/>
      <c r="Z1153" s="340"/>
      <c r="AE1153" s="340"/>
      <c r="AI1153" s="340"/>
      <c r="AN1153" s="340"/>
      <c r="AO1153" s="340"/>
      <c r="AS1153" s="340"/>
      <c r="AX1153" s="340"/>
      <c r="BB1153" s="340"/>
      <c r="BD1153" s="339"/>
    </row>
    <row r="1154" spans="7:56" s="338" customFormat="1">
      <c r="G1154" s="340"/>
      <c r="L1154" s="340"/>
      <c r="P1154" s="340"/>
      <c r="U1154" s="340"/>
      <c r="V1154" s="340"/>
      <c r="Z1154" s="340"/>
      <c r="AE1154" s="340"/>
      <c r="AI1154" s="340"/>
      <c r="AN1154" s="340"/>
      <c r="AO1154" s="340"/>
      <c r="AS1154" s="340"/>
      <c r="AX1154" s="340"/>
      <c r="BB1154" s="340"/>
      <c r="BD1154" s="339"/>
    </row>
    <row r="1155" spans="7:56" s="338" customFormat="1">
      <c r="G1155" s="340"/>
      <c r="L1155" s="340"/>
      <c r="P1155" s="340"/>
      <c r="U1155" s="340"/>
      <c r="V1155" s="340"/>
      <c r="Z1155" s="340"/>
      <c r="AE1155" s="340"/>
      <c r="AI1155" s="340"/>
      <c r="AN1155" s="340"/>
      <c r="AO1155" s="340"/>
      <c r="AS1155" s="340"/>
      <c r="AX1155" s="340"/>
      <c r="BB1155" s="340"/>
      <c r="BD1155" s="339"/>
    </row>
    <row r="1156" spans="7:56" s="338" customFormat="1">
      <c r="G1156" s="340"/>
      <c r="L1156" s="340"/>
      <c r="P1156" s="340"/>
      <c r="U1156" s="340"/>
      <c r="V1156" s="340"/>
      <c r="Z1156" s="340"/>
      <c r="AE1156" s="340"/>
      <c r="AI1156" s="340"/>
      <c r="AN1156" s="340"/>
      <c r="AO1156" s="340"/>
      <c r="AS1156" s="340"/>
      <c r="AX1156" s="340"/>
      <c r="BB1156" s="340"/>
      <c r="BD1156" s="339"/>
    </row>
    <row r="1157" spans="7:56" s="338" customFormat="1">
      <c r="G1157" s="340"/>
      <c r="L1157" s="340"/>
      <c r="P1157" s="340"/>
      <c r="U1157" s="340"/>
      <c r="V1157" s="340"/>
      <c r="Z1157" s="340"/>
      <c r="AE1157" s="340"/>
      <c r="AI1157" s="340"/>
      <c r="AN1157" s="340"/>
      <c r="AO1157" s="340"/>
      <c r="AS1157" s="340"/>
      <c r="AX1157" s="340"/>
      <c r="BB1157" s="340"/>
      <c r="BD1157" s="339"/>
    </row>
    <row r="1158" spans="7:56" s="338" customFormat="1">
      <c r="G1158" s="340"/>
      <c r="L1158" s="340"/>
      <c r="P1158" s="340"/>
      <c r="U1158" s="340"/>
      <c r="V1158" s="340"/>
      <c r="Z1158" s="340"/>
      <c r="AE1158" s="340"/>
      <c r="AI1158" s="340"/>
      <c r="AN1158" s="340"/>
      <c r="AO1158" s="340"/>
      <c r="AS1158" s="340"/>
      <c r="AX1158" s="340"/>
      <c r="BB1158" s="340"/>
      <c r="BD1158" s="339"/>
    </row>
    <row r="1159" spans="7:56" s="338" customFormat="1">
      <c r="G1159" s="340"/>
      <c r="L1159" s="340"/>
      <c r="P1159" s="340"/>
      <c r="U1159" s="340"/>
      <c r="V1159" s="340"/>
      <c r="Z1159" s="340"/>
      <c r="AE1159" s="340"/>
      <c r="AI1159" s="340"/>
      <c r="AN1159" s="340"/>
      <c r="AO1159" s="340"/>
      <c r="AS1159" s="340"/>
      <c r="AX1159" s="340"/>
      <c r="BB1159" s="340"/>
      <c r="BD1159" s="339"/>
    </row>
    <row r="1160" spans="7:56" s="338" customFormat="1">
      <c r="G1160" s="340"/>
      <c r="L1160" s="340"/>
      <c r="P1160" s="340"/>
      <c r="U1160" s="340"/>
      <c r="V1160" s="340"/>
      <c r="Z1160" s="340"/>
      <c r="AE1160" s="340"/>
      <c r="AI1160" s="340"/>
      <c r="AN1160" s="340"/>
      <c r="AO1160" s="340"/>
      <c r="AS1160" s="340"/>
      <c r="AX1160" s="340"/>
      <c r="BB1160" s="340"/>
      <c r="BD1160" s="339"/>
    </row>
    <row r="1161" spans="7:56" s="338" customFormat="1">
      <c r="G1161" s="340"/>
      <c r="L1161" s="340"/>
      <c r="P1161" s="340"/>
      <c r="U1161" s="340"/>
      <c r="V1161" s="340"/>
      <c r="Z1161" s="340"/>
      <c r="AE1161" s="340"/>
      <c r="AI1161" s="340"/>
      <c r="AN1161" s="340"/>
      <c r="AO1161" s="340"/>
      <c r="AS1161" s="340"/>
      <c r="AX1161" s="340"/>
      <c r="BB1161" s="340"/>
      <c r="BD1161" s="339"/>
    </row>
    <row r="1162" spans="7:56" s="338" customFormat="1">
      <c r="G1162" s="340"/>
      <c r="L1162" s="340"/>
      <c r="P1162" s="340"/>
      <c r="U1162" s="340"/>
      <c r="V1162" s="340"/>
      <c r="Z1162" s="340"/>
      <c r="AE1162" s="340"/>
      <c r="AI1162" s="340"/>
      <c r="AN1162" s="340"/>
      <c r="AO1162" s="340"/>
      <c r="AS1162" s="340"/>
      <c r="AX1162" s="340"/>
      <c r="BB1162" s="340"/>
      <c r="BD1162" s="339"/>
    </row>
    <row r="1163" spans="7:56" s="338" customFormat="1">
      <c r="G1163" s="340"/>
      <c r="L1163" s="340"/>
      <c r="P1163" s="340"/>
      <c r="U1163" s="340"/>
      <c r="V1163" s="340"/>
      <c r="Z1163" s="340"/>
      <c r="AE1163" s="340"/>
      <c r="AI1163" s="340"/>
      <c r="AN1163" s="340"/>
      <c r="AO1163" s="340"/>
      <c r="AS1163" s="340"/>
      <c r="AX1163" s="340"/>
      <c r="BB1163" s="340"/>
      <c r="BD1163" s="339"/>
    </row>
    <row r="1164" spans="7:56" s="338" customFormat="1">
      <c r="G1164" s="340"/>
      <c r="L1164" s="340"/>
      <c r="P1164" s="340"/>
      <c r="U1164" s="340"/>
      <c r="V1164" s="340"/>
      <c r="Z1164" s="340"/>
      <c r="AE1164" s="340"/>
      <c r="AI1164" s="340"/>
      <c r="AN1164" s="340"/>
      <c r="AO1164" s="340"/>
      <c r="AS1164" s="340"/>
      <c r="AX1164" s="340"/>
      <c r="BB1164" s="340"/>
      <c r="BD1164" s="339"/>
    </row>
    <row r="1165" spans="7:56" s="338" customFormat="1">
      <c r="G1165" s="340"/>
      <c r="L1165" s="340"/>
      <c r="P1165" s="340"/>
      <c r="U1165" s="340"/>
      <c r="V1165" s="340"/>
      <c r="Z1165" s="340"/>
      <c r="AE1165" s="340"/>
      <c r="AI1165" s="340"/>
      <c r="AN1165" s="340"/>
      <c r="AO1165" s="340"/>
      <c r="AS1165" s="340"/>
      <c r="AX1165" s="340"/>
      <c r="BB1165" s="340"/>
      <c r="BD1165" s="339"/>
    </row>
    <row r="1166" spans="7:56" s="338" customFormat="1">
      <c r="G1166" s="340"/>
      <c r="L1166" s="340"/>
      <c r="P1166" s="340"/>
      <c r="U1166" s="340"/>
      <c r="V1166" s="340"/>
      <c r="Z1166" s="340"/>
      <c r="AE1166" s="340"/>
      <c r="AI1166" s="340"/>
      <c r="AN1166" s="340"/>
      <c r="AO1166" s="340"/>
      <c r="AS1166" s="340"/>
      <c r="AX1166" s="340"/>
      <c r="BB1166" s="340"/>
      <c r="BD1166" s="339"/>
    </row>
    <row r="1167" spans="7:56" s="338" customFormat="1">
      <c r="G1167" s="340"/>
      <c r="L1167" s="340"/>
      <c r="P1167" s="340"/>
      <c r="U1167" s="340"/>
      <c r="V1167" s="340"/>
      <c r="Z1167" s="340"/>
      <c r="AE1167" s="340"/>
      <c r="AI1167" s="340"/>
      <c r="AN1167" s="340"/>
      <c r="AO1167" s="340"/>
      <c r="AS1167" s="340"/>
      <c r="AX1167" s="340"/>
      <c r="BB1167" s="340"/>
      <c r="BD1167" s="339"/>
    </row>
    <row r="1168" spans="7:56" s="338" customFormat="1">
      <c r="G1168" s="340"/>
      <c r="L1168" s="340"/>
      <c r="P1168" s="340"/>
      <c r="U1168" s="340"/>
      <c r="V1168" s="340"/>
      <c r="Z1168" s="340"/>
      <c r="AE1168" s="340"/>
      <c r="AI1168" s="340"/>
      <c r="AN1168" s="340"/>
      <c r="AO1168" s="340"/>
      <c r="AS1168" s="340"/>
      <c r="AX1168" s="340"/>
      <c r="BB1168" s="340"/>
      <c r="BD1168" s="339"/>
    </row>
    <row r="1169" spans="7:56" s="338" customFormat="1">
      <c r="G1169" s="340"/>
      <c r="L1169" s="340"/>
      <c r="P1169" s="340"/>
      <c r="U1169" s="340"/>
      <c r="V1169" s="340"/>
      <c r="Z1169" s="340"/>
      <c r="AE1169" s="340"/>
      <c r="AI1169" s="340"/>
      <c r="AN1169" s="340"/>
      <c r="AO1169" s="340"/>
      <c r="AS1169" s="340"/>
      <c r="AX1169" s="340"/>
      <c r="BB1169" s="340"/>
      <c r="BD1169" s="339"/>
    </row>
    <row r="1170" spans="7:56" s="338" customFormat="1">
      <c r="G1170" s="340"/>
      <c r="L1170" s="340"/>
      <c r="P1170" s="340"/>
      <c r="U1170" s="340"/>
      <c r="V1170" s="340"/>
      <c r="Z1170" s="340"/>
      <c r="AE1170" s="340"/>
      <c r="AI1170" s="340"/>
      <c r="AN1170" s="340"/>
      <c r="AO1170" s="340"/>
      <c r="AS1170" s="340"/>
      <c r="AX1170" s="340"/>
      <c r="BB1170" s="340"/>
      <c r="BD1170" s="339"/>
    </row>
    <row r="1171" spans="7:56" s="338" customFormat="1">
      <c r="G1171" s="340"/>
      <c r="L1171" s="340"/>
      <c r="P1171" s="340"/>
      <c r="U1171" s="340"/>
      <c r="V1171" s="340"/>
      <c r="Z1171" s="340"/>
      <c r="AE1171" s="340"/>
      <c r="AI1171" s="340"/>
      <c r="AN1171" s="340"/>
      <c r="AO1171" s="340"/>
      <c r="AS1171" s="340"/>
      <c r="AX1171" s="340"/>
      <c r="BB1171" s="340"/>
      <c r="BD1171" s="339"/>
    </row>
    <row r="1172" spans="7:56" s="338" customFormat="1">
      <c r="G1172" s="340"/>
      <c r="L1172" s="340"/>
      <c r="P1172" s="340"/>
      <c r="U1172" s="340"/>
      <c r="V1172" s="340"/>
      <c r="Z1172" s="340"/>
      <c r="AE1172" s="340"/>
      <c r="AI1172" s="340"/>
      <c r="AN1172" s="340"/>
      <c r="AO1172" s="340"/>
      <c r="AS1172" s="340"/>
      <c r="AX1172" s="340"/>
      <c r="BB1172" s="340"/>
      <c r="BD1172" s="339"/>
    </row>
    <row r="1173" spans="7:56" s="338" customFormat="1">
      <c r="G1173" s="340"/>
      <c r="L1173" s="340"/>
      <c r="P1173" s="340"/>
      <c r="U1173" s="340"/>
      <c r="V1173" s="340"/>
      <c r="Z1173" s="340"/>
      <c r="AE1173" s="340"/>
      <c r="AI1173" s="340"/>
      <c r="AN1173" s="340"/>
      <c r="AO1173" s="340"/>
      <c r="AS1173" s="340"/>
      <c r="AX1173" s="340"/>
      <c r="BB1173" s="340"/>
      <c r="BD1173" s="339"/>
    </row>
    <row r="1174" spans="7:56" s="338" customFormat="1">
      <c r="G1174" s="340"/>
      <c r="L1174" s="340"/>
      <c r="P1174" s="340"/>
      <c r="U1174" s="340"/>
      <c r="V1174" s="340"/>
      <c r="Z1174" s="340"/>
      <c r="AE1174" s="340"/>
      <c r="AI1174" s="340"/>
      <c r="AN1174" s="340"/>
      <c r="AO1174" s="340"/>
      <c r="AS1174" s="340"/>
      <c r="AX1174" s="340"/>
      <c r="BB1174" s="340"/>
      <c r="BD1174" s="339"/>
    </row>
    <row r="1175" spans="7:56" s="338" customFormat="1">
      <c r="G1175" s="340"/>
      <c r="L1175" s="340"/>
      <c r="P1175" s="340"/>
      <c r="U1175" s="340"/>
      <c r="V1175" s="340"/>
      <c r="Z1175" s="340"/>
      <c r="AE1175" s="340"/>
      <c r="AI1175" s="340"/>
      <c r="AN1175" s="340"/>
      <c r="AO1175" s="340"/>
      <c r="AS1175" s="340"/>
      <c r="AX1175" s="340"/>
      <c r="BB1175" s="340"/>
      <c r="BD1175" s="339"/>
    </row>
    <row r="1176" spans="7:56" s="338" customFormat="1">
      <c r="G1176" s="340"/>
      <c r="L1176" s="340"/>
      <c r="P1176" s="340"/>
      <c r="U1176" s="340"/>
      <c r="V1176" s="340"/>
      <c r="Z1176" s="340"/>
      <c r="AE1176" s="340"/>
      <c r="AI1176" s="340"/>
      <c r="AN1176" s="340"/>
      <c r="AO1176" s="340"/>
      <c r="AS1176" s="340"/>
      <c r="AX1176" s="340"/>
      <c r="BB1176" s="340"/>
      <c r="BD1176" s="339"/>
    </row>
    <row r="1177" spans="7:56" s="338" customFormat="1">
      <c r="G1177" s="340"/>
      <c r="L1177" s="340"/>
      <c r="P1177" s="340"/>
      <c r="U1177" s="340"/>
      <c r="V1177" s="340"/>
      <c r="Z1177" s="340"/>
      <c r="AE1177" s="340"/>
      <c r="AI1177" s="340"/>
      <c r="AN1177" s="340"/>
      <c r="AO1177" s="340"/>
      <c r="AS1177" s="340"/>
      <c r="AX1177" s="340"/>
      <c r="BB1177" s="340"/>
      <c r="BD1177" s="339"/>
    </row>
    <row r="1178" spans="7:56" s="338" customFormat="1">
      <c r="G1178" s="340"/>
      <c r="L1178" s="340"/>
      <c r="P1178" s="340"/>
      <c r="U1178" s="340"/>
      <c r="V1178" s="340"/>
      <c r="Z1178" s="340"/>
      <c r="AE1178" s="340"/>
      <c r="AI1178" s="340"/>
      <c r="AN1178" s="340"/>
      <c r="AO1178" s="340"/>
      <c r="AS1178" s="340"/>
      <c r="AX1178" s="340"/>
      <c r="BB1178" s="340"/>
      <c r="BD1178" s="339"/>
    </row>
    <row r="1179" spans="7:56" s="338" customFormat="1">
      <c r="G1179" s="340"/>
      <c r="L1179" s="340"/>
      <c r="P1179" s="340"/>
      <c r="U1179" s="340"/>
      <c r="V1179" s="340"/>
      <c r="Z1179" s="340"/>
      <c r="AE1179" s="340"/>
      <c r="AI1179" s="340"/>
      <c r="AN1179" s="340"/>
      <c r="AO1179" s="340"/>
      <c r="AS1179" s="340"/>
      <c r="AX1179" s="340"/>
      <c r="BB1179" s="340"/>
      <c r="BD1179" s="339"/>
    </row>
    <row r="1180" spans="7:56" s="338" customFormat="1">
      <c r="G1180" s="340"/>
      <c r="L1180" s="340"/>
      <c r="P1180" s="340"/>
      <c r="U1180" s="340"/>
      <c r="V1180" s="340"/>
      <c r="Z1180" s="340"/>
      <c r="AE1180" s="340"/>
      <c r="AI1180" s="340"/>
      <c r="AN1180" s="340"/>
      <c r="AO1180" s="340"/>
      <c r="AS1180" s="340"/>
      <c r="AX1180" s="340"/>
      <c r="BB1180" s="340"/>
      <c r="BD1180" s="339"/>
    </row>
    <row r="1181" spans="7:56" s="338" customFormat="1">
      <c r="G1181" s="340"/>
      <c r="L1181" s="340"/>
      <c r="P1181" s="340"/>
      <c r="U1181" s="340"/>
      <c r="V1181" s="340"/>
      <c r="Z1181" s="340"/>
      <c r="AE1181" s="340"/>
      <c r="AI1181" s="340"/>
      <c r="AN1181" s="340"/>
      <c r="AO1181" s="340"/>
      <c r="AS1181" s="340"/>
      <c r="AX1181" s="340"/>
      <c r="BB1181" s="340"/>
      <c r="BD1181" s="339"/>
    </row>
    <row r="1182" spans="7:56" s="338" customFormat="1">
      <c r="G1182" s="340"/>
      <c r="L1182" s="340"/>
      <c r="P1182" s="340"/>
      <c r="U1182" s="340"/>
      <c r="V1182" s="340"/>
      <c r="Z1182" s="340"/>
      <c r="AE1182" s="340"/>
      <c r="AI1182" s="340"/>
      <c r="AN1182" s="340"/>
      <c r="AO1182" s="340"/>
      <c r="AS1182" s="340"/>
      <c r="AX1182" s="340"/>
      <c r="BB1182" s="340"/>
      <c r="BD1182" s="339"/>
    </row>
    <row r="1183" spans="7:56" s="338" customFormat="1">
      <c r="G1183" s="340"/>
      <c r="L1183" s="340"/>
      <c r="P1183" s="340"/>
      <c r="U1183" s="340"/>
      <c r="V1183" s="340"/>
      <c r="Z1183" s="340"/>
      <c r="AE1183" s="340"/>
      <c r="AI1183" s="340"/>
      <c r="AN1183" s="340"/>
      <c r="AO1183" s="340"/>
      <c r="AS1183" s="340"/>
      <c r="AX1183" s="340"/>
      <c r="BB1183" s="340"/>
      <c r="BD1183" s="339"/>
    </row>
    <row r="1184" spans="7:56" s="338" customFormat="1">
      <c r="G1184" s="340"/>
      <c r="L1184" s="340"/>
      <c r="P1184" s="340"/>
      <c r="U1184" s="340"/>
      <c r="V1184" s="340"/>
      <c r="Z1184" s="340"/>
      <c r="AE1184" s="340"/>
      <c r="AI1184" s="340"/>
      <c r="AN1184" s="340"/>
      <c r="AO1184" s="340"/>
      <c r="AS1184" s="340"/>
      <c r="AX1184" s="340"/>
      <c r="BB1184" s="340"/>
      <c r="BD1184" s="339"/>
    </row>
    <row r="1185" spans="7:56" s="338" customFormat="1">
      <c r="G1185" s="340"/>
      <c r="L1185" s="340"/>
      <c r="P1185" s="340"/>
      <c r="U1185" s="340"/>
      <c r="V1185" s="340"/>
      <c r="Z1185" s="340"/>
      <c r="AE1185" s="340"/>
      <c r="AI1185" s="340"/>
      <c r="AN1185" s="340"/>
      <c r="AO1185" s="340"/>
      <c r="AS1185" s="340"/>
      <c r="AX1185" s="340"/>
      <c r="BB1185" s="340"/>
      <c r="BD1185" s="339"/>
    </row>
    <row r="1186" spans="7:56" s="338" customFormat="1">
      <c r="G1186" s="340"/>
      <c r="L1186" s="340"/>
      <c r="P1186" s="340"/>
      <c r="U1186" s="340"/>
      <c r="V1186" s="340"/>
      <c r="Z1186" s="340"/>
      <c r="AE1186" s="340"/>
      <c r="AI1186" s="340"/>
      <c r="AN1186" s="340"/>
      <c r="AO1186" s="340"/>
      <c r="AS1186" s="340"/>
      <c r="AX1186" s="340"/>
      <c r="BB1186" s="340"/>
      <c r="BD1186" s="339"/>
    </row>
    <row r="1187" spans="7:56" s="338" customFormat="1">
      <c r="G1187" s="340"/>
      <c r="L1187" s="340"/>
      <c r="P1187" s="340"/>
      <c r="U1187" s="340"/>
      <c r="V1187" s="340"/>
      <c r="Z1187" s="340"/>
      <c r="AE1187" s="340"/>
      <c r="AI1187" s="340"/>
      <c r="AN1187" s="340"/>
      <c r="AO1187" s="340"/>
      <c r="AS1187" s="340"/>
      <c r="AX1187" s="340"/>
      <c r="BB1187" s="340"/>
      <c r="BD1187" s="339"/>
    </row>
    <row r="1188" spans="7:56" s="338" customFormat="1">
      <c r="G1188" s="340"/>
      <c r="L1188" s="340"/>
      <c r="P1188" s="340"/>
      <c r="U1188" s="340"/>
      <c r="V1188" s="340"/>
      <c r="Z1188" s="340"/>
      <c r="AE1188" s="340"/>
      <c r="AI1188" s="340"/>
      <c r="AN1188" s="340"/>
      <c r="AO1188" s="340"/>
      <c r="AS1188" s="340"/>
      <c r="AX1188" s="340"/>
      <c r="BB1188" s="340"/>
      <c r="BD1188" s="339"/>
    </row>
    <row r="1189" spans="7:56" s="338" customFormat="1">
      <c r="G1189" s="340"/>
      <c r="L1189" s="340"/>
      <c r="P1189" s="340"/>
      <c r="U1189" s="340"/>
      <c r="V1189" s="340"/>
      <c r="Z1189" s="340"/>
      <c r="AE1189" s="340"/>
      <c r="AI1189" s="340"/>
      <c r="AN1189" s="340"/>
      <c r="AO1189" s="340"/>
      <c r="AS1189" s="340"/>
      <c r="AX1189" s="340"/>
      <c r="BB1189" s="340"/>
      <c r="BD1189" s="339"/>
    </row>
    <row r="1190" spans="7:56" s="338" customFormat="1">
      <c r="G1190" s="340"/>
      <c r="L1190" s="340"/>
      <c r="P1190" s="340"/>
      <c r="U1190" s="340"/>
      <c r="V1190" s="340"/>
      <c r="Z1190" s="340"/>
      <c r="AE1190" s="340"/>
      <c r="AI1190" s="340"/>
      <c r="AN1190" s="340"/>
      <c r="AO1190" s="340"/>
      <c r="AS1190" s="340"/>
      <c r="AX1190" s="340"/>
      <c r="BB1190" s="340"/>
      <c r="BD1190" s="339"/>
    </row>
    <row r="1191" spans="7:56" s="338" customFormat="1">
      <c r="G1191" s="340"/>
      <c r="L1191" s="340"/>
      <c r="P1191" s="340"/>
      <c r="U1191" s="340"/>
      <c r="V1191" s="340"/>
      <c r="Z1191" s="340"/>
      <c r="AE1191" s="340"/>
      <c r="AI1191" s="340"/>
      <c r="AN1191" s="340"/>
      <c r="AO1191" s="340"/>
      <c r="AS1191" s="340"/>
      <c r="AX1191" s="340"/>
      <c r="BB1191" s="340"/>
      <c r="BD1191" s="339"/>
    </row>
    <row r="1192" spans="7:56" s="338" customFormat="1">
      <c r="G1192" s="340"/>
      <c r="L1192" s="340"/>
      <c r="P1192" s="340"/>
      <c r="U1192" s="340"/>
      <c r="V1192" s="340"/>
      <c r="Z1192" s="340"/>
      <c r="AE1192" s="340"/>
      <c r="AI1192" s="340"/>
      <c r="AN1192" s="340"/>
      <c r="AO1192" s="340"/>
      <c r="AS1192" s="340"/>
      <c r="AX1192" s="340"/>
      <c r="BB1192" s="340"/>
      <c r="BD1192" s="339"/>
    </row>
    <row r="1193" spans="7:56" s="338" customFormat="1">
      <c r="G1193" s="340"/>
      <c r="L1193" s="340"/>
      <c r="P1193" s="340"/>
      <c r="U1193" s="340"/>
      <c r="V1193" s="340"/>
      <c r="Z1193" s="340"/>
      <c r="AE1193" s="340"/>
      <c r="AI1193" s="340"/>
      <c r="AN1193" s="340"/>
      <c r="AO1193" s="340"/>
      <c r="AS1193" s="340"/>
      <c r="AX1193" s="340"/>
      <c r="BB1193" s="340"/>
      <c r="BD1193" s="339"/>
    </row>
    <row r="1194" spans="7:56" s="338" customFormat="1">
      <c r="G1194" s="340"/>
      <c r="L1194" s="340"/>
      <c r="P1194" s="340"/>
      <c r="U1194" s="340"/>
      <c r="V1194" s="340"/>
      <c r="Z1194" s="340"/>
      <c r="AE1194" s="340"/>
      <c r="AI1194" s="340"/>
      <c r="AN1194" s="340"/>
      <c r="AO1194" s="340"/>
      <c r="AS1194" s="340"/>
      <c r="AX1194" s="340"/>
      <c r="BB1194" s="340"/>
      <c r="BD1194" s="339"/>
    </row>
    <row r="1195" spans="7:56" s="338" customFormat="1">
      <c r="G1195" s="340"/>
      <c r="L1195" s="340"/>
      <c r="P1195" s="340"/>
      <c r="U1195" s="340"/>
      <c r="V1195" s="340"/>
      <c r="Z1195" s="340"/>
      <c r="AE1195" s="340"/>
      <c r="AI1195" s="340"/>
      <c r="AN1195" s="340"/>
      <c r="AO1195" s="340"/>
      <c r="AS1195" s="340"/>
      <c r="AX1195" s="340"/>
      <c r="BB1195" s="340"/>
      <c r="BD1195" s="339"/>
    </row>
    <row r="1196" spans="7:56" s="338" customFormat="1">
      <c r="G1196" s="340"/>
      <c r="L1196" s="340"/>
      <c r="P1196" s="340"/>
      <c r="U1196" s="340"/>
      <c r="V1196" s="340"/>
      <c r="Z1196" s="340"/>
      <c r="AE1196" s="340"/>
      <c r="AI1196" s="340"/>
      <c r="AN1196" s="340"/>
      <c r="AO1196" s="340"/>
      <c r="AS1196" s="340"/>
      <c r="AX1196" s="340"/>
      <c r="BB1196" s="340"/>
      <c r="BD1196" s="339"/>
    </row>
    <row r="1197" spans="7:56" s="338" customFormat="1">
      <c r="G1197" s="340"/>
      <c r="L1197" s="340"/>
      <c r="P1197" s="340"/>
      <c r="U1197" s="340"/>
      <c r="V1197" s="340"/>
      <c r="Z1197" s="340"/>
      <c r="AE1197" s="340"/>
      <c r="AI1197" s="340"/>
      <c r="AN1197" s="340"/>
      <c r="AO1197" s="340"/>
      <c r="AS1197" s="340"/>
      <c r="AX1197" s="340"/>
      <c r="BB1197" s="340"/>
      <c r="BD1197" s="339"/>
    </row>
    <row r="1198" spans="7:56" s="338" customFormat="1">
      <c r="G1198" s="340"/>
      <c r="L1198" s="340"/>
      <c r="P1198" s="340"/>
      <c r="U1198" s="340"/>
      <c r="V1198" s="340"/>
      <c r="Z1198" s="340"/>
      <c r="AE1198" s="340"/>
      <c r="AI1198" s="340"/>
      <c r="AN1198" s="340"/>
      <c r="AO1198" s="340"/>
      <c r="AS1198" s="340"/>
      <c r="AX1198" s="340"/>
      <c r="BB1198" s="340"/>
      <c r="BD1198" s="339"/>
    </row>
    <row r="1199" spans="7:56" s="338" customFormat="1">
      <c r="G1199" s="340"/>
      <c r="L1199" s="340"/>
      <c r="P1199" s="340"/>
      <c r="U1199" s="340"/>
      <c r="V1199" s="340"/>
      <c r="Z1199" s="340"/>
      <c r="AE1199" s="340"/>
      <c r="AI1199" s="340"/>
      <c r="AN1199" s="340"/>
      <c r="AO1199" s="340"/>
      <c r="AS1199" s="340"/>
      <c r="AX1199" s="340"/>
      <c r="BB1199" s="340"/>
      <c r="BD1199" s="339"/>
    </row>
    <row r="1200" spans="7:56" s="338" customFormat="1">
      <c r="G1200" s="340"/>
      <c r="L1200" s="340"/>
      <c r="P1200" s="340"/>
      <c r="U1200" s="340"/>
      <c r="V1200" s="340"/>
      <c r="Z1200" s="340"/>
      <c r="AE1200" s="340"/>
      <c r="AI1200" s="340"/>
      <c r="AN1200" s="340"/>
      <c r="AO1200" s="340"/>
      <c r="AS1200" s="340"/>
      <c r="AX1200" s="340"/>
      <c r="BB1200" s="340"/>
      <c r="BD1200" s="339"/>
    </row>
    <row r="1201" spans="7:56" s="338" customFormat="1">
      <c r="G1201" s="340"/>
      <c r="L1201" s="340"/>
      <c r="P1201" s="340"/>
      <c r="U1201" s="340"/>
      <c r="V1201" s="340"/>
      <c r="Z1201" s="340"/>
      <c r="AE1201" s="340"/>
      <c r="AI1201" s="340"/>
      <c r="AN1201" s="340"/>
      <c r="AO1201" s="340"/>
      <c r="AS1201" s="340"/>
      <c r="AX1201" s="340"/>
      <c r="BB1201" s="340"/>
      <c r="BD1201" s="339"/>
    </row>
    <row r="1202" spans="7:56" s="338" customFormat="1">
      <c r="G1202" s="340"/>
      <c r="L1202" s="340"/>
      <c r="P1202" s="340"/>
      <c r="U1202" s="340"/>
      <c r="V1202" s="340"/>
      <c r="Z1202" s="340"/>
      <c r="AE1202" s="340"/>
      <c r="AI1202" s="340"/>
      <c r="AN1202" s="340"/>
      <c r="AO1202" s="340"/>
      <c r="AS1202" s="340"/>
      <c r="AX1202" s="340"/>
      <c r="BB1202" s="340"/>
      <c r="BD1202" s="339"/>
    </row>
    <row r="1203" spans="7:56" s="338" customFormat="1">
      <c r="G1203" s="340"/>
      <c r="L1203" s="340"/>
      <c r="P1203" s="340"/>
      <c r="U1203" s="340"/>
      <c r="V1203" s="340"/>
      <c r="Z1203" s="340"/>
      <c r="AE1203" s="340"/>
      <c r="AI1203" s="340"/>
      <c r="AN1203" s="340"/>
      <c r="AO1203" s="340"/>
      <c r="AS1203" s="340"/>
      <c r="AX1203" s="340"/>
      <c r="BB1203" s="340"/>
      <c r="BD1203" s="339"/>
    </row>
    <row r="1204" spans="7:56" s="338" customFormat="1">
      <c r="G1204" s="340"/>
      <c r="L1204" s="340"/>
      <c r="P1204" s="340"/>
      <c r="U1204" s="340"/>
      <c r="V1204" s="340"/>
      <c r="Z1204" s="340"/>
      <c r="AE1204" s="340"/>
      <c r="AI1204" s="340"/>
      <c r="AN1204" s="340"/>
      <c r="AO1204" s="340"/>
      <c r="AS1204" s="340"/>
      <c r="AX1204" s="340"/>
      <c r="BB1204" s="340"/>
      <c r="BD1204" s="339"/>
    </row>
    <row r="1205" spans="7:56" s="338" customFormat="1">
      <c r="G1205" s="340"/>
      <c r="L1205" s="340"/>
      <c r="P1205" s="340"/>
      <c r="U1205" s="340"/>
      <c r="V1205" s="340"/>
      <c r="Z1205" s="340"/>
      <c r="AE1205" s="340"/>
      <c r="AI1205" s="340"/>
      <c r="AN1205" s="340"/>
      <c r="AO1205" s="340"/>
      <c r="AS1205" s="340"/>
      <c r="AX1205" s="340"/>
      <c r="BB1205" s="340"/>
      <c r="BD1205" s="339"/>
    </row>
    <row r="1206" spans="7:56" s="338" customFormat="1">
      <c r="G1206" s="340"/>
      <c r="L1206" s="340"/>
      <c r="P1206" s="340"/>
      <c r="U1206" s="340"/>
      <c r="V1206" s="340"/>
      <c r="Z1206" s="340"/>
      <c r="AE1206" s="340"/>
      <c r="AI1206" s="340"/>
      <c r="AN1206" s="340"/>
      <c r="AO1206" s="340"/>
      <c r="AS1206" s="340"/>
      <c r="AX1206" s="340"/>
      <c r="BB1206" s="340"/>
      <c r="BD1206" s="339"/>
    </row>
    <row r="1207" spans="7:56" s="338" customFormat="1">
      <c r="G1207" s="340"/>
      <c r="L1207" s="340"/>
      <c r="P1207" s="340"/>
      <c r="U1207" s="340"/>
      <c r="V1207" s="340"/>
      <c r="Z1207" s="340"/>
      <c r="AE1207" s="340"/>
      <c r="AI1207" s="340"/>
      <c r="AN1207" s="340"/>
      <c r="AO1207" s="340"/>
      <c r="AS1207" s="340"/>
      <c r="AX1207" s="340"/>
      <c r="BB1207" s="340"/>
      <c r="BD1207" s="339"/>
    </row>
    <row r="1208" spans="7:56" s="338" customFormat="1">
      <c r="G1208" s="340"/>
      <c r="L1208" s="340"/>
      <c r="P1208" s="340"/>
      <c r="U1208" s="340"/>
      <c r="V1208" s="340"/>
      <c r="Z1208" s="340"/>
      <c r="AE1208" s="340"/>
      <c r="AI1208" s="340"/>
      <c r="AN1208" s="340"/>
      <c r="AO1208" s="340"/>
      <c r="AS1208" s="340"/>
      <c r="AX1208" s="340"/>
      <c r="BB1208" s="340"/>
      <c r="BD1208" s="339"/>
    </row>
    <row r="1209" spans="7:56" s="338" customFormat="1">
      <c r="G1209" s="340"/>
      <c r="L1209" s="340"/>
      <c r="P1209" s="340"/>
      <c r="U1209" s="340"/>
      <c r="V1209" s="340"/>
      <c r="Z1209" s="340"/>
      <c r="AE1209" s="340"/>
      <c r="AI1209" s="340"/>
      <c r="AN1209" s="340"/>
      <c r="AO1209" s="340"/>
      <c r="AS1209" s="340"/>
      <c r="AX1209" s="340"/>
      <c r="BB1209" s="340"/>
      <c r="BD1209" s="339"/>
    </row>
    <row r="1210" spans="7:56" s="338" customFormat="1">
      <c r="G1210" s="340"/>
      <c r="L1210" s="340"/>
      <c r="P1210" s="340"/>
      <c r="U1210" s="340"/>
      <c r="V1210" s="340"/>
      <c r="Z1210" s="340"/>
      <c r="AE1210" s="340"/>
      <c r="AI1210" s="340"/>
      <c r="AN1210" s="340"/>
      <c r="AO1210" s="340"/>
      <c r="AS1210" s="340"/>
      <c r="AX1210" s="340"/>
      <c r="BB1210" s="340"/>
      <c r="BD1210" s="339"/>
    </row>
    <row r="1211" spans="7:56" s="338" customFormat="1">
      <c r="G1211" s="340"/>
      <c r="L1211" s="340"/>
      <c r="P1211" s="340"/>
      <c r="U1211" s="340"/>
      <c r="V1211" s="340"/>
      <c r="Z1211" s="340"/>
      <c r="AE1211" s="340"/>
      <c r="AI1211" s="340"/>
      <c r="AN1211" s="340"/>
      <c r="AO1211" s="340"/>
      <c r="AS1211" s="340"/>
      <c r="AX1211" s="340"/>
      <c r="BB1211" s="340"/>
      <c r="BD1211" s="339"/>
    </row>
    <row r="1212" spans="7:56" s="338" customFormat="1">
      <c r="G1212" s="340"/>
      <c r="L1212" s="340"/>
      <c r="P1212" s="340"/>
      <c r="U1212" s="340"/>
      <c r="V1212" s="340"/>
      <c r="Z1212" s="340"/>
      <c r="AE1212" s="340"/>
      <c r="AI1212" s="340"/>
      <c r="AN1212" s="340"/>
      <c r="AO1212" s="340"/>
      <c r="AS1212" s="340"/>
      <c r="AX1212" s="340"/>
      <c r="BB1212" s="340"/>
      <c r="BD1212" s="339"/>
    </row>
    <row r="1213" spans="7:56" s="338" customFormat="1">
      <c r="G1213" s="340"/>
      <c r="L1213" s="340"/>
      <c r="P1213" s="340"/>
      <c r="U1213" s="340"/>
      <c r="V1213" s="340"/>
      <c r="Z1213" s="340"/>
      <c r="AE1213" s="340"/>
      <c r="AI1213" s="340"/>
      <c r="AN1213" s="340"/>
      <c r="AO1213" s="340"/>
      <c r="AS1213" s="340"/>
      <c r="AX1213" s="340"/>
      <c r="BB1213" s="340"/>
      <c r="BD1213" s="339"/>
    </row>
    <row r="1214" spans="7:56" s="338" customFormat="1">
      <c r="G1214" s="340"/>
      <c r="L1214" s="340"/>
      <c r="P1214" s="340"/>
      <c r="U1214" s="340"/>
      <c r="V1214" s="340"/>
      <c r="Z1214" s="340"/>
      <c r="AE1214" s="340"/>
      <c r="AI1214" s="340"/>
      <c r="AN1214" s="340"/>
      <c r="AO1214" s="340"/>
      <c r="AS1214" s="340"/>
      <c r="AX1214" s="340"/>
      <c r="BB1214" s="340"/>
      <c r="BD1214" s="339"/>
    </row>
    <row r="1215" spans="7:56" s="338" customFormat="1">
      <c r="G1215" s="340"/>
      <c r="L1215" s="340"/>
      <c r="P1215" s="340"/>
      <c r="U1215" s="340"/>
      <c r="V1215" s="340"/>
      <c r="Z1215" s="340"/>
      <c r="AE1215" s="340"/>
      <c r="AI1215" s="340"/>
      <c r="AN1215" s="340"/>
      <c r="AO1215" s="340"/>
      <c r="AS1215" s="340"/>
      <c r="AX1215" s="340"/>
      <c r="BB1215" s="340"/>
      <c r="BD1215" s="339"/>
    </row>
    <row r="1216" spans="7:56" s="338" customFormat="1">
      <c r="G1216" s="340"/>
      <c r="L1216" s="340"/>
      <c r="P1216" s="340"/>
      <c r="U1216" s="340"/>
      <c r="V1216" s="340"/>
      <c r="Z1216" s="340"/>
      <c r="AE1216" s="340"/>
      <c r="AI1216" s="340"/>
      <c r="AN1216" s="340"/>
      <c r="AO1216" s="340"/>
      <c r="AS1216" s="340"/>
      <c r="AX1216" s="340"/>
      <c r="BB1216" s="340"/>
      <c r="BD1216" s="339"/>
    </row>
    <row r="1217" spans="7:56" s="338" customFormat="1">
      <c r="G1217" s="340"/>
      <c r="L1217" s="340"/>
      <c r="P1217" s="340"/>
      <c r="U1217" s="340"/>
      <c r="V1217" s="340"/>
      <c r="Z1217" s="340"/>
      <c r="AE1217" s="340"/>
      <c r="AI1217" s="340"/>
      <c r="AN1217" s="340"/>
      <c r="AO1217" s="340"/>
      <c r="AS1217" s="340"/>
      <c r="AX1217" s="340"/>
      <c r="BB1217" s="340"/>
      <c r="BD1217" s="339"/>
    </row>
    <row r="1218" spans="7:56" s="338" customFormat="1">
      <c r="G1218" s="340"/>
      <c r="L1218" s="340"/>
      <c r="P1218" s="340"/>
      <c r="U1218" s="340"/>
      <c r="V1218" s="340"/>
      <c r="Z1218" s="340"/>
      <c r="AE1218" s="340"/>
      <c r="AI1218" s="340"/>
      <c r="AN1218" s="340"/>
      <c r="AO1218" s="340"/>
      <c r="AS1218" s="340"/>
      <c r="AX1218" s="340"/>
      <c r="BB1218" s="340"/>
      <c r="BD1218" s="339"/>
    </row>
    <row r="1219" spans="7:56" s="338" customFormat="1">
      <c r="G1219" s="340"/>
      <c r="L1219" s="340"/>
      <c r="P1219" s="340"/>
      <c r="U1219" s="340"/>
      <c r="V1219" s="340"/>
      <c r="Z1219" s="340"/>
      <c r="AE1219" s="340"/>
      <c r="AI1219" s="340"/>
      <c r="AN1219" s="340"/>
      <c r="AO1219" s="340"/>
      <c r="AS1219" s="340"/>
      <c r="AX1219" s="340"/>
      <c r="BB1219" s="340"/>
      <c r="BD1219" s="339"/>
    </row>
    <row r="1220" spans="7:56" s="338" customFormat="1">
      <c r="G1220" s="340"/>
      <c r="L1220" s="340"/>
      <c r="P1220" s="340"/>
      <c r="U1220" s="340"/>
      <c r="V1220" s="340"/>
      <c r="Z1220" s="340"/>
      <c r="AE1220" s="340"/>
      <c r="AI1220" s="340"/>
      <c r="AN1220" s="340"/>
      <c r="AO1220" s="340"/>
      <c r="AS1220" s="340"/>
      <c r="AX1220" s="340"/>
      <c r="BB1220" s="340"/>
      <c r="BD1220" s="339"/>
    </row>
    <row r="1221" spans="7:56" s="338" customFormat="1">
      <c r="G1221" s="340"/>
      <c r="L1221" s="340"/>
      <c r="P1221" s="340"/>
      <c r="U1221" s="340"/>
      <c r="V1221" s="340"/>
      <c r="Z1221" s="340"/>
      <c r="AE1221" s="340"/>
      <c r="AI1221" s="340"/>
      <c r="AN1221" s="340"/>
      <c r="AO1221" s="340"/>
      <c r="AS1221" s="340"/>
      <c r="AX1221" s="340"/>
      <c r="BB1221" s="340"/>
      <c r="BD1221" s="339"/>
    </row>
    <row r="1222" spans="7:56" s="338" customFormat="1">
      <c r="G1222" s="340"/>
      <c r="L1222" s="340"/>
      <c r="P1222" s="340"/>
      <c r="U1222" s="340"/>
      <c r="V1222" s="340"/>
      <c r="Z1222" s="340"/>
      <c r="AE1222" s="340"/>
      <c r="AI1222" s="340"/>
      <c r="AN1222" s="340"/>
      <c r="AO1222" s="340"/>
      <c r="AS1222" s="340"/>
      <c r="AX1222" s="340"/>
      <c r="BB1222" s="340"/>
      <c r="BD1222" s="339"/>
    </row>
    <row r="1223" spans="7:56" s="338" customFormat="1">
      <c r="G1223" s="340"/>
      <c r="L1223" s="340"/>
      <c r="P1223" s="340"/>
      <c r="U1223" s="340"/>
      <c r="V1223" s="340"/>
      <c r="Z1223" s="340"/>
      <c r="AE1223" s="340"/>
      <c r="AI1223" s="340"/>
      <c r="AN1223" s="340"/>
      <c r="AO1223" s="340"/>
      <c r="AS1223" s="340"/>
      <c r="AX1223" s="340"/>
      <c r="BB1223" s="340"/>
      <c r="BD1223" s="339"/>
    </row>
    <row r="1224" spans="7:56" s="338" customFormat="1">
      <c r="G1224" s="340"/>
      <c r="L1224" s="340"/>
      <c r="P1224" s="340"/>
      <c r="U1224" s="340"/>
      <c r="V1224" s="340"/>
      <c r="Z1224" s="340"/>
      <c r="AE1224" s="340"/>
      <c r="AI1224" s="340"/>
      <c r="AN1224" s="340"/>
      <c r="AO1224" s="340"/>
      <c r="AS1224" s="340"/>
      <c r="AX1224" s="340"/>
      <c r="BB1224" s="340"/>
      <c r="BD1224" s="339"/>
    </row>
    <row r="1225" spans="7:56" s="338" customFormat="1">
      <c r="G1225" s="340"/>
      <c r="L1225" s="340"/>
      <c r="P1225" s="340"/>
      <c r="U1225" s="340"/>
      <c r="V1225" s="340"/>
      <c r="Z1225" s="340"/>
      <c r="AE1225" s="340"/>
      <c r="AI1225" s="340"/>
      <c r="AN1225" s="340"/>
      <c r="AO1225" s="340"/>
      <c r="AS1225" s="340"/>
      <c r="AX1225" s="340"/>
      <c r="BB1225" s="340"/>
      <c r="BD1225" s="339"/>
    </row>
    <row r="1226" spans="7:56" s="338" customFormat="1">
      <c r="G1226" s="340"/>
      <c r="L1226" s="340"/>
      <c r="P1226" s="340"/>
      <c r="U1226" s="340"/>
      <c r="V1226" s="340"/>
      <c r="Z1226" s="340"/>
      <c r="AE1226" s="340"/>
      <c r="AI1226" s="340"/>
      <c r="AN1226" s="340"/>
      <c r="AO1226" s="340"/>
      <c r="AS1226" s="340"/>
      <c r="AX1226" s="340"/>
      <c r="BB1226" s="340"/>
      <c r="BD1226" s="339"/>
    </row>
    <row r="1227" spans="7:56" s="338" customFormat="1">
      <c r="G1227" s="340"/>
      <c r="L1227" s="340"/>
      <c r="P1227" s="340"/>
      <c r="U1227" s="340"/>
      <c r="V1227" s="340"/>
      <c r="Z1227" s="340"/>
      <c r="AE1227" s="340"/>
      <c r="AI1227" s="340"/>
      <c r="AN1227" s="340"/>
      <c r="AO1227" s="340"/>
      <c r="AS1227" s="340"/>
      <c r="AX1227" s="340"/>
      <c r="BB1227" s="340"/>
      <c r="BD1227" s="339"/>
    </row>
    <row r="1228" spans="7:56" s="338" customFormat="1">
      <c r="G1228" s="340"/>
      <c r="L1228" s="340"/>
      <c r="P1228" s="340"/>
      <c r="U1228" s="340"/>
      <c r="V1228" s="340"/>
      <c r="Z1228" s="340"/>
      <c r="AE1228" s="340"/>
      <c r="AI1228" s="340"/>
      <c r="AN1228" s="340"/>
      <c r="AO1228" s="340"/>
      <c r="AS1228" s="340"/>
      <c r="AX1228" s="340"/>
      <c r="BB1228" s="340"/>
      <c r="BD1228" s="339"/>
    </row>
    <row r="1229" spans="7:56" s="338" customFormat="1">
      <c r="G1229" s="340"/>
      <c r="L1229" s="340"/>
      <c r="P1229" s="340"/>
      <c r="U1229" s="340"/>
      <c r="V1229" s="340"/>
      <c r="Z1229" s="340"/>
      <c r="AE1229" s="340"/>
      <c r="AI1229" s="340"/>
      <c r="AN1229" s="340"/>
      <c r="AO1229" s="340"/>
      <c r="AS1229" s="340"/>
      <c r="AX1229" s="340"/>
      <c r="BB1229" s="340"/>
      <c r="BD1229" s="339"/>
    </row>
    <row r="1230" spans="7:56" s="338" customFormat="1">
      <c r="G1230" s="340"/>
      <c r="L1230" s="340"/>
      <c r="P1230" s="340"/>
      <c r="U1230" s="340"/>
      <c r="V1230" s="340"/>
      <c r="Z1230" s="340"/>
      <c r="AE1230" s="340"/>
      <c r="AI1230" s="340"/>
      <c r="AN1230" s="340"/>
      <c r="AO1230" s="340"/>
      <c r="AS1230" s="340"/>
      <c r="AX1230" s="340"/>
      <c r="BB1230" s="340"/>
      <c r="BD1230" s="339"/>
    </row>
    <row r="1231" spans="7:56" s="338" customFormat="1">
      <c r="G1231" s="340"/>
      <c r="L1231" s="340"/>
      <c r="P1231" s="340"/>
      <c r="U1231" s="340"/>
      <c r="V1231" s="340"/>
      <c r="Z1231" s="340"/>
      <c r="AE1231" s="340"/>
      <c r="AI1231" s="340"/>
      <c r="AN1231" s="340"/>
      <c r="AO1231" s="340"/>
      <c r="AS1231" s="340"/>
      <c r="AX1231" s="340"/>
      <c r="BB1231" s="340"/>
      <c r="BD1231" s="339"/>
    </row>
    <row r="1232" spans="7:56" s="338" customFormat="1">
      <c r="G1232" s="340"/>
      <c r="L1232" s="340"/>
      <c r="P1232" s="340"/>
      <c r="U1232" s="340"/>
      <c r="V1232" s="340"/>
      <c r="Z1232" s="340"/>
      <c r="AE1232" s="340"/>
      <c r="AI1232" s="340"/>
      <c r="AN1232" s="340"/>
      <c r="AO1232" s="340"/>
      <c r="AS1232" s="340"/>
      <c r="AX1232" s="340"/>
      <c r="BB1232" s="340"/>
      <c r="BD1232" s="339"/>
    </row>
    <row r="1233" spans="7:56" s="338" customFormat="1">
      <c r="G1233" s="340"/>
      <c r="L1233" s="340"/>
      <c r="P1233" s="340"/>
      <c r="U1233" s="340"/>
      <c r="V1233" s="340"/>
      <c r="Z1233" s="340"/>
      <c r="AE1233" s="340"/>
      <c r="AI1233" s="340"/>
      <c r="AN1233" s="340"/>
      <c r="AO1233" s="340"/>
      <c r="AS1233" s="340"/>
      <c r="AX1233" s="340"/>
      <c r="BB1233" s="340"/>
      <c r="BD1233" s="339"/>
    </row>
    <row r="1234" spans="7:56" s="338" customFormat="1">
      <c r="G1234" s="340"/>
      <c r="L1234" s="340"/>
      <c r="P1234" s="340"/>
      <c r="U1234" s="340"/>
      <c r="V1234" s="340"/>
      <c r="Z1234" s="340"/>
      <c r="AE1234" s="340"/>
      <c r="AI1234" s="340"/>
      <c r="AN1234" s="340"/>
      <c r="AO1234" s="340"/>
      <c r="AS1234" s="340"/>
      <c r="AX1234" s="340"/>
      <c r="BB1234" s="340"/>
      <c r="BD1234" s="339"/>
    </row>
    <row r="1235" spans="7:56" s="338" customFormat="1">
      <c r="G1235" s="340"/>
      <c r="L1235" s="340"/>
      <c r="P1235" s="340"/>
      <c r="U1235" s="340"/>
      <c r="V1235" s="340"/>
      <c r="Z1235" s="340"/>
      <c r="AE1235" s="340"/>
      <c r="AI1235" s="340"/>
      <c r="AN1235" s="340"/>
      <c r="AO1235" s="340"/>
      <c r="AS1235" s="340"/>
      <c r="AX1235" s="340"/>
      <c r="BB1235" s="340"/>
      <c r="BD1235" s="339"/>
    </row>
    <row r="1236" spans="7:56" s="338" customFormat="1">
      <c r="G1236" s="340"/>
      <c r="L1236" s="340"/>
      <c r="P1236" s="340"/>
      <c r="U1236" s="340"/>
      <c r="V1236" s="340"/>
      <c r="Z1236" s="340"/>
      <c r="AE1236" s="340"/>
      <c r="AI1236" s="340"/>
      <c r="AN1236" s="340"/>
      <c r="AO1236" s="340"/>
      <c r="AS1236" s="340"/>
      <c r="AX1236" s="340"/>
      <c r="BB1236" s="340"/>
      <c r="BD1236" s="339"/>
    </row>
    <row r="1237" spans="7:56" s="338" customFormat="1">
      <c r="G1237" s="340"/>
      <c r="L1237" s="340"/>
      <c r="P1237" s="340"/>
      <c r="U1237" s="340"/>
      <c r="V1237" s="340"/>
      <c r="Z1237" s="340"/>
      <c r="AE1237" s="340"/>
      <c r="AI1237" s="340"/>
      <c r="AN1237" s="340"/>
      <c r="AO1237" s="340"/>
      <c r="AS1237" s="340"/>
      <c r="AX1237" s="340"/>
      <c r="BB1237" s="340"/>
      <c r="BD1237" s="339"/>
    </row>
    <row r="1238" spans="7:56" s="338" customFormat="1">
      <c r="G1238" s="340"/>
      <c r="L1238" s="340"/>
      <c r="P1238" s="340"/>
      <c r="U1238" s="340"/>
      <c r="V1238" s="340"/>
      <c r="Z1238" s="340"/>
      <c r="AE1238" s="340"/>
      <c r="AI1238" s="340"/>
      <c r="AN1238" s="340"/>
      <c r="AO1238" s="340"/>
      <c r="AS1238" s="340"/>
      <c r="AX1238" s="340"/>
      <c r="BB1238" s="340"/>
      <c r="BD1238" s="339"/>
    </row>
    <row r="1239" spans="7:56" s="338" customFormat="1">
      <c r="G1239" s="340"/>
      <c r="L1239" s="340"/>
      <c r="P1239" s="340"/>
      <c r="U1239" s="340"/>
      <c r="V1239" s="340"/>
      <c r="Z1239" s="340"/>
      <c r="AE1239" s="340"/>
      <c r="AI1239" s="340"/>
      <c r="AN1239" s="340"/>
      <c r="AO1239" s="340"/>
      <c r="AS1239" s="340"/>
      <c r="AX1239" s="340"/>
      <c r="BB1239" s="340"/>
      <c r="BD1239" s="339"/>
    </row>
    <row r="1240" spans="7:56" s="338" customFormat="1">
      <c r="G1240" s="340"/>
      <c r="L1240" s="340"/>
      <c r="P1240" s="340"/>
      <c r="U1240" s="340"/>
      <c r="V1240" s="340"/>
      <c r="Z1240" s="340"/>
      <c r="AE1240" s="340"/>
      <c r="AI1240" s="340"/>
      <c r="AN1240" s="340"/>
      <c r="AO1240" s="340"/>
      <c r="AS1240" s="340"/>
      <c r="AX1240" s="340"/>
      <c r="BB1240" s="340"/>
      <c r="BD1240" s="339"/>
    </row>
    <row r="1241" spans="7:56" s="338" customFormat="1">
      <c r="G1241" s="340"/>
      <c r="L1241" s="340"/>
      <c r="P1241" s="340"/>
      <c r="U1241" s="340"/>
      <c r="V1241" s="340"/>
      <c r="Z1241" s="340"/>
      <c r="AE1241" s="340"/>
      <c r="AI1241" s="340"/>
      <c r="AN1241" s="340"/>
      <c r="AO1241" s="340"/>
      <c r="AS1241" s="340"/>
      <c r="AX1241" s="340"/>
      <c r="BB1241" s="340"/>
      <c r="BD1241" s="339"/>
    </row>
    <row r="1242" spans="7:56" s="338" customFormat="1">
      <c r="G1242" s="340"/>
      <c r="L1242" s="340"/>
      <c r="P1242" s="340"/>
      <c r="U1242" s="340"/>
      <c r="V1242" s="340"/>
      <c r="Z1242" s="340"/>
      <c r="AE1242" s="340"/>
      <c r="AI1242" s="340"/>
      <c r="AN1242" s="340"/>
      <c r="AO1242" s="340"/>
      <c r="AS1242" s="340"/>
      <c r="AX1242" s="340"/>
      <c r="BB1242" s="340"/>
      <c r="BD1242" s="339"/>
    </row>
    <row r="1243" spans="7:56" s="338" customFormat="1">
      <c r="G1243" s="340"/>
      <c r="L1243" s="340"/>
      <c r="P1243" s="340"/>
      <c r="U1243" s="340"/>
      <c r="V1243" s="340"/>
      <c r="Z1243" s="340"/>
      <c r="AE1243" s="340"/>
      <c r="AI1243" s="340"/>
      <c r="AN1243" s="340"/>
      <c r="AO1243" s="340"/>
      <c r="AS1243" s="340"/>
      <c r="AX1243" s="340"/>
      <c r="BB1243" s="340"/>
      <c r="BD1243" s="339"/>
    </row>
    <row r="1244" spans="7:56" s="338" customFormat="1">
      <c r="G1244" s="340"/>
      <c r="L1244" s="340"/>
      <c r="P1244" s="340"/>
      <c r="U1244" s="340"/>
      <c r="V1244" s="340"/>
      <c r="Z1244" s="340"/>
      <c r="AE1244" s="340"/>
      <c r="AI1244" s="340"/>
      <c r="AN1244" s="340"/>
      <c r="AO1244" s="340"/>
      <c r="AS1244" s="340"/>
      <c r="AX1244" s="340"/>
      <c r="BB1244" s="340"/>
      <c r="BD1244" s="339"/>
    </row>
    <row r="1245" spans="7:56" s="338" customFormat="1">
      <c r="G1245" s="340"/>
      <c r="L1245" s="340"/>
      <c r="P1245" s="340"/>
      <c r="U1245" s="340"/>
      <c r="V1245" s="340"/>
      <c r="Z1245" s="340"/>
      <c r="AE1245" s="340"/>
      <c r="AI1245" s="340"/>
      <c r="AN1245" s="340"/>
      <c r="AO1245" s="340"/>
      <c r="AS1245" s="340"/>
      <c r="AX1245" s="340"/>
      <c r="BB1245" s="340"/>
      <c r="BD1245" s="339"/>
    </row>
    <row r="1246" spans="7:56" s="338" customFormat="1">
      <c r="G1246" s="340"/>
      <c r="L1246" s="340"/>
      <c r="P1246" s="340"/>
      <c r="U1246" s="340"/>
      <c r="V1246" s="340"/>
      <c r="Z1246" s="340"/>
      <c r="AE1246" s="340"/>
      <c r="AI1246" s="340"/>
      <c r="AN1246" s="340"/>
      <c r="AO1246" s="340"/>
      <c r="AS1246" s="340"/>
      <c r="AX1246" s="340"/>
      <c r="BB1246" s="340"/>
      <c r="BD1246" s="339"/>
    </row>
    <row r="1247" spans="7:56" s="338" customFormat="1">
      <c r="G1247" s="340"/>
      <c r="L1247" s="340"/>
      <c r="P1247" s="340"/>
      <c r="U1247" s="340"/>
      <c r="V1247" s="340"/>
      <c r="Z1247" s="340"/>
      <c r="AE1247" s="340"/>
      <c r="AI1247" s="340"/>
      <c r="AN1247" s="340"/>
      <c r="AO1247" s="340"/>
      <c r="AS1247" s="340"/>
      <c r="AX1247" s="340"/>
      <c r="BB1247" s="340"/>
      <c r="BD1247" s="339"/>
    </row>
    <row r="1248" spans="7:56" s="338" customFormat="1">
      <c r="G1248" s="340"/>
      <c r="L1248" s="340"/>
      <c r="P1248" s="340"/>
      <c r="U1248" s="340"/>
      <c r="V1248" s="340"/>
      <c r="Z1248" s="340"/>
      <c r="AE1248" s="340"/>
      <c r="AI1248" s="340"/>
      <c r="AN1248" s="340"/>
      <c r="AO1248" s="340"/>
      <c r="AS1248" s="340"/>
      <c r="AX1248" s="340"/>
      <c r="BB1248" s="340"/>
      <c r="BD1248" s="339"/>
    </row>
    <row r="1249" spans="7:56" s="338" customFormat="1">
      <c r="G1249" s="340"/>
      <c r="L1249" s="340"/>
      <c r="P1249" s="340"/>
      <c r="U1249" s="340"/>
      <c r="V1249" s="340"/>
      <c r="Z1249" s="340"/>
      <c r="AE1249" s="340"/>
      <c r="AI1249" s="340"/>
      <c r="AN1249" s="340"/>
      <c r="AO1249" s="340"/>
      <c r="AS1249" s="340"/>
      <c r="AX1249" s="340"/>
      <c r="BB1249" s="340"/>
      <c r="BD1249" s="339"/>
    </row>
    <row r="1250" spans="7:56" s="338" customFormat="1">
      <c r="G1250" s="340"/>
      <c r="L1250" s="340"/>
      <c r="P1250" s="340"/>
      <c r="U1250" s="340"/>
      <c r="V1250" s="340"/>
      <c r="Z1250" s="340"/>
      <c r="AE1250" s="340"/>
      <c r="AI1250" s="340"/>
      <c r="AN1250" s="340"/>
      <c r="AO1250" s="340"/>
      <c r="AS1250" s="340"/>
      <c r="AX1250" s="340"/>
      <c r="BB1250" s="340"/>
      <c r="BD1250" s="339"/>
    </row>
    <row r="1251" spans="7:56" s="338" customFormat="1">
      <c r="G1251" s="340"/>
      <c r="L1251" s="340"/>
      <c r="P1251" s="340"/>
      <c r="U1251" s="340"/>
      <c r="V1251" s="340"/>
      <c r="Z1251" s="340"/>
      <c r="AE1251" s="340"/>
      <c r="AI1251" s="340"/>
      <c r="AN1251" s="340"/>
      <c r="AO1251" s="340"/>
      <c r="AS1251" s="340"/>
      <c r="AX1251" s="340"/>
      <c r="BB1251" s="340"/>
      <c r="BD1251" s="339"/>
    </row>
    <row r="1252" spans="7:56" s="338" customFormat="1">
      <c r="G1252" s="340"/>
      <c r="L1252" s="340"/>
      <c r="P1252" s="340"/>
      <c r="U1252" s="340"/>
      <c r="V1252" s="340"/>
      <c r="Z1252" s="340"/>
      <c r="AE1252" s="340"/>
      <c r="AI1252" s="340"/>
      <c r="AN1252" s="340"/>
      <c r="AO1252" s="340"/>
      <c r="AS1252" s="340"/>
      <c r="AX1252" s="340"/>
      <c r="BB1252" s="340"/>
      <c r="BD1252" s="339"/>
    </row>
    <row r="1253" spans="7:56" s="338" customFormat="1">
      <c r="G1253" s="340"/>
      <c r="L1253" s="340"/>
      <c r="P1253" s="340"/>
      <c r="U1253" s="340"/>
      <c r="V1253" s="340"/>
      <c r="Z1253" s="340"/>
      <c r="AE1253" s="340"/>
      <c r="AI1253" s="340"/>
      <c r="AN1253" s="340"/>
      <c r="AO1253" s="340"/>
      <c r="AS1253" s="340"/>
      <c r="AX1253" s="340"/>
      <c r="BB1253" s="340"/>
      <c r="BD1253" s="339"/>
    </row>
    <row r="1254" spans="7:56" s="338" customFormat="1">
      <c r="G1254" s="340"/>
      <c r="L1254" s="340"/>
      <c r="P1254" s="340"/>
      <c r="U1254" s="340"/>
      <c r="V1254" s="340"/>
      <c r="Z1254" s="340"/>
      <c r="AE1254" s="340"/>
      <c r="AI1254" s="340"/>
      <c r="AN1254" s="340"/>
      <c r="AO1254" s="340"/>
      <c r="AS1254" s="340"/>
      <c r="AX1254" s="340"/>
      <c r="BB1254" s="340"/>
      <c r="BD1254" s="339"/>
    </row>
    <row r="1255" spans="7:56" s="338" customFormat="1">
      <c r="G1255" s="340"/>
      <c r="L1255" s="340"/>
      <c r="P1255" s="340"/>
      <c r="U1255" s="340"/>
      <c r="V1255" s="340"/>
      <c r="Z1255" s="340"/>
      <c r="AE1255" s="340"/>
      <c r="AI1255" s="340"/>
      <c r="AN1255" s="340"/>
      <c r="AO1255" s="340"/>
      <c r="AS1255" s="340"/>
      <c r="AX1255" s="340"/>
      <c r="BB1255" s="340"/>
      <c r="BD1255" s="339"/>
    </row>
    <row r="1256" spans="7:56" s="338" customFormat="1">
      <c r="G1256" s="340"/>
      <c r="L1256" s="340"/>
      <c r="P1256" s="340"/>
      <c r="U1256" s="340"/>
      <c r="V1256" s="340"/>
      <c r="Z1256" s="340"/>
      <c r="AE1256" s="340"/>
      <c r="AI1256" s="340"/>
      <c r="AN1256" s="340"/>
      <c r="AO1256" s="340"/>
      <c r="AS1256" s="340"/>
      <c r="AX1256" s="340"/>
      <c r="BB1256" s="340"/>
      <c r="BD1256" s="339"/>
    </row>
    <row r="1257" spans="7:56" s="338" customFormat="1">
      <c r="G1257" s="340"/>
      <c r="L1257" s="340"/>
      <c r="P1257" s="340"/>
      <c r="U1257" s="340"/>
      <c r="V1257" s="340"/>
      <c r="Z1257" s="340"/>
      <c r="AE1257" s="340"/>
      <c r="AI1257" s="340"/>
      <c r="AN1257" s="340"/>
      <c r="AO1257" s="340"/>
      <c r="AS1257" s="340"/>
      <c r="AX1257" s="340"/>
      <c r="BB1257" s="340"/>
      <c r="BD1257" s="339"/>
    </row>
    <row r="1258" spans="7:56" s="338" customFormat="1">
      <c r="G1258" s="340"/>
      <c r="L1258" s="340"/>
      <c r="P1258" s="340"/>
      <c r="U1258" s="340"/>
      <c r="V1258" s="340"/>
      <c r="Z1258" s="340"/>
      <c r="AE1258" s="340"/>
      <c r="AI1258" s="340"/>
      <c r="AN1258" s="340"/>
      <c r="AO1258" s="340"/>
      <c r="AS1258" s="340"/>
      <c r="AX1258" s="340"/>
      <c r="BB1258" s="340"/>
      <c r="BD1258" s="339"/>
    </row>
    <row r="1259" spans="7:56" s="338" customFormat="1">
      <c r="G1259" s="340"/>
      <c r="L1259" s="340"/>
      <c r="P1259" s="340"/>
      <c r="U1259" s="340"/>
      <c r="V1259" s="340"/>
      <c r="Z1259" s="340"/>
      <c r="AE1259" s="340"/>
      <c r="AI1259" s="340"/>
      <c r="AN1259" s="340"/>
      <c r="AO1259" s="340"/>
      <c r="AS1259" s="340"/>
      <c r="AX1259" s="340"/>
      <c r="BB1259" s="340"/>
      <c r="BD1259" s="339"/>
    </row>
    <row r="1260" spans="7:56" s="338" customFormat="1">
      <c r="G1260" s="340"/>
      <c r="L1260" s="340"/>
      <c r="P1260" s="340"/>
      <c r="U1260" s="340"/>
      <c r="V1260" s="340"/>
      <c r="Z1260" s="340"/>
      <c r="AE1260" s="340"/>
      <c r="AI1260" s="340"/>
      <c r="AN1260" s="340"/>
      <c r="AO1260" s="340"/>
      <c r="AS1260" s="340"/>
      <c r="AX1260" s="340"/>
      <c r="BB1260" s="340"/>
      <c r="BD1260" s="339"/>
    </row>
    <row r="1261" spans="7:56" s="338" customFormat="1">
      <c r="G1261" s="340"/>
      <c r="L1261" s="340"/>
      <c r="P1261" s="340"/>
      <c r="U1261" s="340"/>
      <c r="V1261" s="340"/>
      <c r="Z1261" s="340"/>
      <c r="AE1261" s="340"/>
      <c r="AI1261" s="340"/>
      <c r="AN1261" s="340"/>
      <c r="AO1261" s="340"/>
      <c r="AS1261" s="340"/>
      <c r="AX1261" s="340"/>
      <c r="BB1261" s="340"/>
      <c r="BD1261" s="339"/>
    </row>
    <row r="1262" spans="7:56" s="338" customFormat="1">
      <c r="G1262" s="340"/>
      <c r="L1262" s="340"/>
      <c r="P1262" s="340"/>
      <c r="U1262" s="340"/>
      <c r="V1262" s="340"/>
      <c r="Z1262" s="340"/>
      <c r="AE1262" s="340"/>
      <c r="AI1262" s="340"/>
      <c r="AN1262" s="340"/>
      <c r="AO1262" s="340"/>
      <c r="AS1262" s="340"/>
      <c r="AX1262" s="340"/>
      <c r="BB1262" s="340"/>
      <c r="BD1262" s="339"/>
    </row>
    <row r="1263" spans="7:56" s="338" customFormat="1">
      <c r="G1263" s="340"/>
      <c r="L1263" s="340"/>
      <c r="P1263" s="340"/>
      <c r="U1263" s="340"/>
      <c r="V1263" s="340"/>
      <c r="Z1263" s="340"/>
      <c r="AE1263" s="340"/>
      <c r="AI1263" s="340"/>
      <c r="AN1263" s="340"/>
      <c r="AO1263" s="340"/>
      <c r="AS1263" s="340"/>
      <c r="AX1263" s="340"/>
      <c r="BB1263" s="340"/>
      <c r="BD1263" s="339"/>
    </row>
    <row r="1264" spans="7:56" s="338" customFormat="1">
      <c r="G1264" s="340"/>
      <c r="L1264" s="340"/>
      <c r="P1264" s="340"/>
      <c r="U1264" s="340"/>
      <c r="V1264" s="340"/>
      <c r="Z1264" s="340"/>
      <c r="AE1264" s="340"/>
      <c r="AI1264" s="340"/>
      <c r="AN1264" s="340"/>
      <c r="AO1264" s="340"/>
      <c r="AS1264" s="340"/>
      <c r="AX1264" s="340"/>
      <c r="BB1264" s="340"/>
      <c r="BD1264" s="339"/>
    </row>
    <row r="1265" spans="7:56" s="338" customFormat="1">
      <c r="G1265" s="340"/>
      <c r="L1265" s="340"/>
      <c r="P1265" s="340"/>
      <c r="U1265" s="340"/>
      <c r="V1265" s="340"/>
      <c r="Z1265" s="340"/>
      <c r="AE1265" s="340"/>
      <c r="AI1265" s="340"/>
      <c r="AN1265" s="340"/>
      <c r="AO1265" s="340"/>
      <c r="AS1265" s="340"/>
      <c r="AX1265" s="340"/>
      <c r="BB1265" s="340"/>
      <c r="BD1265" s="339"/>
    </row>
    <row r="1266" spans="7:56" s="338" customFormat="1">
      <c r="G1266" s="340"/>
      <c r="L1266" s="340"/>
      <c r="P1266" s="340"/>
      <c r="U1266" s="340"/>
      <c r="V1266" s="340"/>
      <c r="Z1266" s="340"/>
      <c r="AE1266" s="340"/>
      <c r="AI1266" s="340"/>
      <c r="AN1266" s="340"/>
      <c r="AO1266" s="340"/>
      <c r="AS1266" s="340"/>
      <c r="AX1266" s="340"/>
      <c r="BB1266" s="340"/>
      <c r="BD1266" s="339"/>
    </row>
    <row r="1267" spans="7:56" s="338" customFormat="1">
      <c r="G1267" s="340"/>
      <c r="L1267" s="340"/>
      <c r="P1267" s="340"/>
      <c r="U1267" s="340"/>
      <c r="V1267" s="340"/>
      <c r="Z1267" s="340"/>
      <c r="AE1267" s="340"/>
      <c r="AI1267" s="340"/>
      <c r="AN1267" s="340"/>
      <c r="AO1267" s="340"/>
      <c r="AS1267" s="340"/>
      <c r="AX1267" s="340"/>
      <c r="BB1267" s="340"/>
      <c r="BD1267" s="339"/>
    </row>
    <row r="1268" spans="7:56" s="338" customFormat="1">
      <c r="G1268" s="340"/>
      <c r="L1268" s="340"/>
      <c r="P1268" s="340"/>
      <c r="U1268" s="340"/>
      <c r="V1268" s="340"/>
      <c r="Z1268" s="340"/>
      <c r="AE1268" s="340"/>
      <c r="AI1268" s="340"/>
      <c r="AN1268" s="340"/>
      <c r="AO1268" s="340"/>
      <c r="AS1268" s="340"/>
      <c r="AX1268" s="340"/>
      <c r="BB1268" s="340"/>
      <c r="BD1268" s="339"/>
    </row>
    <row r="1269" spans="7:56" s="338" customFormat="1">
      <c r="G1269" s="340"/>
      <c r="L1269" s="340"/>
      <c r="P1269" s="340"/>
      <c r="U1269" s="340"/>
      <c r="V1269" s="340"/>
      <c r="Z1269" s="340"/>
      <c r="AE1269" s="340"/>
      <c r="AI1269" s="340"/>
      <c r="AN1269" s="340"/>
      <c r="AO1269" s="340"/>
      <c r="AS1269" s="340"/>
      <c r="AX1269" s="340"/>
      <c r="BB1269" s="340"/>
      <c r="BD1269" s="339"/>
    </row>
    <row r="1270" spans="7:56" s="338" customFormat="1">
      <c r="G1270" s="340"/>
      <c r="L1270" s="340"/>
      <c r="P1270" s="340"/>
      <c r="U1270" s="340"/>
      <c r="V1270" s="340"/>
      <c r="Z1270" s="340"/>
      <c r="AE1270" s="340"/>
      <c r="AI1270" s="340"/>
      <c r="AN1270" s="340"/>
      <c r="AO1270" s="340"/>
      <c r="AS1270" s="340"/>
      <c r="AX1270" s="340"/>
      <c r="BB1270" s="340"/>
      <c r="BD1270" s="339"/>
    </row>
    <row r="1271" spans="7:56" s="338" customFormat="1">
      <c r="G1271" s="340"/>
      <c r="L1271" s="340"/>
      <c r="P1271" s="340"/>
      <c r="U1271" s="340"/>
      <c r="V1271" s="340"/>
      <c r="Z1271" s="340"/>
      <c r="AE1271" s="340"/>
      <c r="AI1271" s="340"/>
      <c r="AN1271" s="340"/>
      <c r="AO1271" s="340"/>
      <c r="AS1271" s="340"/>
      <c r="AX1271" s="340"/>
      <c r="BB1271" s="340"/>
      <c r="BD1271" s="339"/>
    </row>
    <row r="1272" spans="7:56" s="338" customFormat="1">
      <c r="G1272" s="340"/>
      <c r="L1272" s="340"/>
      <c r="P1272" s="340"/>
      <c r="U1272" s="340"/>
      <c r="V1272" s="340"/>
      <c r="Z1272" s="340"/>
      <c r="AE1272" s="340"/>
      <c r="AI1272" s="340"/>
      <c r="AN1272" s="340"/>
      <c r="AO1272" s="340"/>
      <c r="AS1272" s="340"/>
      <c r="AX1272" s="340"/>
      <c r="BB1272" s="340"/>
      <c r="BD1272" s="339"/>
    </row>
    <row r="1273" spans="7:56" s="338" customFormat="1">
      <c r="G1273" s="340"/>
      <c r="L1273" s="340"/>
      <c r="P1273" s="340"/>
      <c r="U1273" s="340"/>
      <c r="V1273" s="340"/>
      <c r="Z1273" s="340"/>
      <c r="AE1273" s="340"/>
      <c r="AI1273" s="340"/>
      <c r="AN1273" s="340"/>
      <c r="AO1273" s="340"/>
      <c r="AS1273" s="340"/>
      <c r="AX1273" s="340"/>
      <c r="BB1273" s="340"/>
      <c r="BD1273" s="339"/>
    </row>
    <row r="1274" spans="7:56" s="338" customFormat="1">
      <c r="G1274" s="340"/>
      <c r="L1274" s="340"/>
      <c r="P1274" s="340"/>
      <c r="U1274" s="340"/>
      <c r="V1274" s="340"/>
      <c r="Z1274" s="340"/>
      <c r="AE1274" s="340"/>
      <c r="AI1274" s="340"/>
      <c r="AN1274" s="340"/>
      <c r="AO1274" s="340"/>
      <c r="AS1274" s="340"/>
      <c r="AX1274" s="340"/>
      <c r="BB1274" s="340"/>
      <c r="BD1274" s="339"/>
    </row>
    <row r="1275" spans="7:56" s="338" customFormat="1">
      <c r="G1275" s="340"/>
      <c r="L1275" s="340"/>
      <c r="P1275" s="340"/>
      <c r="U1275" s="340"/>
      <c r="V1275" s="340"/>
      <c r="Z1275" s="340"/>
      <c r="AE1275" s="340"/>
      <c r="AI1275" s="340"/>
      <c r="AN1275" s="340"/>
      <c r="AO1275" s="340"/>
      <c r="AS1275" s="340"/>
      <c r="AX1275" s="340"/>
      <c r="BB1275" s="340"/>
      <c r="BD1275" s="339"/>
    </row>
    <row r="1276" spans="7:56" s="338" customFormat="1">
      <c r="G1276" s="340"/>
      <c r="L1276" s="340"/>
      <c r="P1276" s="340"/>
      <c r="U1276" s="340"/>
      <c r="V1276" s="340"/>
      <c r="Z1276" s="340"/>
      <c r="AE1276" s="340"/>
      <c r="AI1276" s="340"/>
      <c r="AN1276" s="340"/>
      <c r="AO1276" s="340"/>
      <c r="AS1276" s="340"/>
      <c r="AX1276" s="340"/>
      <c r="BB1276" s="340"/>
      <c r="BD1276" s="339"/>
    </row>
    <row r="1277" spans="7:56" s="338" customFormat="1">
      <c r="G1277" s="340"/>
      <c r="L1277" s="340"/>
      <c r="P1277" s="340"/>
      <c r="U1277" s="340"/>
      <c r="V1277" s="340"/>
      <c r="Z1277" s="340"/>
      <c r="AE1277" s="340"/>
      <c r="AI1277" s="340"/>
      <c r="AN1277" s="340"/>
      <c r="AO1277" s="340"/>
      <c r="AS1277" s="340"/>
      <c r="AX1277" s="340"/>
      <c r="BB1277" s="340"/>
      <c r="BD1277" s="339"/>
    </row>
    <row r="1278" spans="7:56" s="338" customFormat="1">
      <c r="G1278" s="340"/>
      <c r="L1278" s="340"/>
      <c r="P1278" s="340"/>
      <c r="U1278" s="340"/>
      <c r="V1278" s="340"/>
      <c r="Z1278" s="340"/>
      <c r="AE1278" s="340"/>
      <c r="AI1278" s="340"/>
      <c r="AN1278" s="340"/>
      <c r="AO1278" s="340"/>
      <c r="AS1278" s="340"/>
      <c r="AX1278" s="340"/>
      <c r="BB1278" s="340"/>
      <c r="BD1278" s="339"/>
    </row>
    <row r="1279" spans="7:56" s="338" customFormat="1">
      <c r="G1279" s="340"/>
      <c r="L1279" s="340"/>
      <c r="P1279" s="340"/>
      <c r="U1279" s="340"/>
      <c r="V1279" s="340"/>
      <c r="Z1279" s="340"/>
      <c r="AE1279" s="340"/>
      <c r="AI1279" s="340"/>
      <c r="AN1279" s="340"/>
      <c r="AO1279" s="340"/>
      <c r="AS1279" s="340"/>
      <c r="AX1279" s="340"/>
      <c r="BB1279" s="340"/>
      <c r="BD1279" s="339"/>
    </row>
    <row r="1280" spans="7:56" s="338" customFormat="1">
      <c r="G1280" s="340"/>
      <c r="L1280" s="340"/>
      <c r="P1280" s="340"/>
      <c r="U1280" s="340"/>
      <c r="V1280" s="340"/>
      <c r="Z1280" s="340"/>
      <c r="AE1280" s="340"/>
      <c r="AI1280" s="340"/>
      <c r="AN1280" s="340"/>
      <c r="AO1280" s="340"/>
      <c r="AS1280" s="340"/>
      <c r="AX1280" s="340"/>
      <c r="BB1280" s="340"/>
      <c r="BD1280" s="339"/>
    </row>
    <row r="1281" spans="7:56" s="338" customFormat="1">
      <c r="G1281" s="340"/>
      <c r="L1281" s="340"/>
      <c r="P1281" s="340"/>
      <c r="U1281" s="340"/>
      <c r="V1281" s="340"/>
      <c r="Z1281" s="340"/>
      <c r="AE1281" s="340"/>
      <c r="AI1281" s="340"/>
      <c r="AN1281" s="340"/>
      <c r="AO1281" s="340"/>
      <c r="AS1281" s="340"/>
      <c r="AX1281" s="340"/>
      <c r="BB1281" s="340"/>
      <c r="BD1281" s="339"/>
    </row>
    <row r="1282" spans="7:56" s="338" customFormat="1">
      <c r="G1282" s="340"/>
      <c r="L1282" s="340"/>
      <c r="P1282" s="340"/>
      <c r="U1282" s="340"/>
      <c r="V1282" s="340"/>
      <c r="Z1282" s="340"/>
      <c r="AE1282" s="340"/>
      <c r="AI1282" s="340"/>
      <c r="AN1282" s="340"/>
      <c r="AO1282" s="340"/>
      <c r="AS1282" s="340"/>
      <c r="AX1282" s="340"/>
      <c r="BB1282" s="340"/>
      <c r="BD1282" s="339"/>
    </row>
    <row r="1283" spans="7:56" s="338" customFormat="1">
      <c r="G1283" s="340"/>
      <c r="L1283" s="340"/>
      <c r="P1283" s="340"/>
      <c r="U1283" s="340"/>
      <c r="V1283" s="340"/>
      <c r="Z1283" s="340"/>
      <c r="AE1283" s="340"/>
      <c r="AI1283" s="340"/>
      <c r="AN1283" s="340"/>
      <c r="AO1283" s="340"/>
      <c r="AS1283" s="340"/>
      <c r="AX1283" s="340"/>
      <c r="BB1283" s="340"/>
      <c r="BD1283" s="339"/>
    </row>
    <row r="1284" spans="7:56" s="338" customFormat="1">
      <c r="G1284" s="340"/>
      <c r="L1284" s="340"/>
      <c r="P1284" s="340"/>
      <c r="U1284" s="340"/>
      <c r="V1284" s="340"/>
      <c r="Z1284" s="340"/>
      <c r="AE1284" s="340"/>
      <c r="AI1284" s="340"/>
      <c r="AN1284" s="340"/>
      <c r="AO1284" s="340"/>
      <c r="AS1284" s="340"/>
      <c r="AX1284" s="340"/>
      <c r="BB1284" s="340"/>
      <c r="BD1284" s="339"/>
    </row>
    <row r="1285" spans="7:56" s="338" customFormat="1">
      <c r="G1285" s="340"/>
      <c r="L1285" s="340"/>
      <c r="P1285" s="340"/>
      <c r="U1285" s="340"/>
      <c r="V1285" s="340"/>
      <c r="Z1285" s="340"/>
      <c r="AE1285" s="340"/>
      <c r="AI1285" s="340"/>
      <c r="AN1285" s="340"/>
      <c r="AO1285" s="340"/>
      <c r="AS1285" s="340"/>
      <c r="AX1285" s="340"/>
      <c r="BB1285" s="340"/>
      <c r="BD1285" s="339"/>
    </row>
    <row r="1286" spans="7:56" s="338" customFormat="1">
      <c r="G1286" s="340"/>
      <c r="L1286" s="340"/>
      <c r="P1286" s="340"/>
      <c r="U1286" s="340"/>
      <c r="V1286" s="340"/>
      <c r="Z1286" s="340"/>
      <c r="AE1286" s="340"/>
      <c r="AI1286" s="340"/>
      <c r="AN1286" s="340"/>
      <c r="AO1286" s="340"/>
      <c r="AS1286" s="340"/>
      <c r="AX1286" s="340"/>
      <c r="BB1286" s="340"/>
      <c r="BD1286" s="339"/>
    </row>
    <row r="1287" spans="7:56" s="338" customFormat="1">
      <c r="G1287" s="340"/>
      <c r="L1287" s="340"/>
      <c r="P1287" s="340"/>
      <c r="U1287" s="340"/>
      <c r="V1287" s="340"/>
      <c r="Z1287" s="340"/>
      <c r="AE1287" s="340"/>
      <c r="AI1287" s="340"/>
      <c r="AN1287" s="340"/>
      <c r="AO1287" s="340"/>
      <c r="AS1287" s="340"/>
      <c r="AX1287" s="340"/>
      <c r="BB1287" s="340"/>
      <c r="BD1287" s="339"/>
    </row>
    <row r="1288" spans="7:56" s="338" customFormat="1">
      <c r="G1288" s="340"/>
      <c r="L1288" s="340"/>
      <c r="P1288" s="340"/>
      <c r="U1288" s="340"/>
      <c r="V1288" s="340"/>
      <c r="Z1288" s="340"/>
      <c r="AE1288" s="340"/>
      <c r="AI1288" s="340"/>
      <c r="AN1288" s="340"/>
      <c r="AO1288" s="340"/>
      <c r="AS1288" s="340"/>
      <c r="AX1288" s="340"/>
      <c r="BB1288" s="340"/>
      <c r="BD1288" s="339"/>
    </row>
    <row r="1289" spans="7:56" s="338" customFormat="1">
      <c r="G1289" s="340"/>
      <c r="L1289" s="340"/>
      <c r="P1289" s="340"/>
      <c r="U1289" s="340"/>
      <c r="V1289" s="340"/>
      <c r="Z1289" s="340"/>
      <c r="AE1289" s="340"/>
      <c r="AI1289" s="340"/>
      <c r="AN1289" s="340"/>
      <c r="AO1289" s="340"/>
      <c r="AS1289" s="340"/>
      <c r="AX1289" s="340"/>
      <c r="BB1289" s="340"/>
      <c r="BD1289" s="339"/>
    </row>
    <row r="1290" spans="7:56" s="338" customFormat="1">
      <c r="G1290" s="340"/>
      <c r="L1290" s="340"/>
      <c r="P1290" s="340"/>
      <c r="U1290" s="340"/>
      <c r="V1290" s="340"/>
      <c r="Z1290" s="340"/>
      <c r="AE1290" s="340"/>
      <c r="AI1290" s="340"/>
      <c r="AN1290" s="340"/>
      <c r="AO1290" s="340"/>
      <c r="AS1290" s="340"/>
      <c r="AX1290" s="340"/>
      <c r="BB1290" s="340"/>
      <c r="BD1290" s="339"/>
    </row>
    <row r="1291" spans="7:56" s="338" customFormat="1">
      <c r="G1291" s="340"/>
      <c r="L1291" s="340"/>
      <c r="P1291" s="340"/>
      <c r="U1291" s="340"/>
      <c r="V1291" s="340"/>
      <c r="Z1291" s="340"/>
      <c r="AE1291" s="340"/>
      <c r="AI1291" s="340"/>
      <c r="AN1291" s="340"/>
      <c r="AO1291" s="340"/>
      <c r="AS1291" s="340"/>
      <c r="AX1291" s="340"/>
      <c r="BB1291" s="340"/>
      <c r="BD1291" s="339"/>
    </row>
    <row r="1292" spans="7:56" s="338" customFormat="1">
      <c r="G1292" s="340"/>
      <c r="L1292" s="340"/>
      <c r="P1292" s="340"/>
      <c r="U1292" s="340"/>
      <c r="V1292" s="340"/>
      <c r="Z1292" s="340"/>
      <c r="AE1292" s="340"/>
      <c r="AI1292" s="340"/>
      <c r="AN1292" s="340"/>
      <c r="AO1292" s="340"/>
      <c r="AS1292" s="340"/>
      <c r="AX1292" s="340"/>
      <c r="BB1292" s="340"/>
      <c r="BD1292" s="339"/>
    </row>
    <row r="1293" spans="7:56" s="338" customFormat="1">
      <c r="G1293" s="340"/>
      <c r="L1293" s="340"/>
      <c r="P1293" s="340"/>
      <c r="U1293" s="340"/>
      <c r="V1293" s="340"/>
      <c r="Z1293" s="340"/>
      <c r="AE1293" s="340"/>
      <c r="AI1293" s="340"/>
      <c r="AN1293" s="340"/>
      <c r="AO1293" s="340"/>
      <c r="AS1293" s="340"/>
      <c r="AX1293" s="340"/>
      <c r="BB1293" s="340"/>
      <c r="BD1293" s="339"/>
    </row>
    <row r="1294" spans="7:56" s="338" customFormat="1">
      <c r="G1294" s="340"/>
      <c r="L1294" s="340"/>
      <c r="P1294" s="340"/>
      <c r="U1294" s="340"/>
      <c r="V1294" s="340"/>
      <c r="Z1294" s="340"/>
      <c r="AE1294" s="340"/>
      <c r="AI1294" s="340"/>
      <c r="AN1294" s="340"/>
      <c r="AO1294" s="340"/>
      <c r="AS1294" s="340"/>
      <c r="AX1294" s="340"/>
      <c r="BB1294" s="340"/>
      <c r="BD1294" s="339"/>
    </row>
    <row r="1295" spans="7:56" s="338" customFormat="1">
      <c r="G1295" s="340"/>
      <c r="L1295" s="340"/>
      <c r="P1295" s="340"/>
      <c r="U1295" s="340"/>
      <c r="V1295" s="340"/>
      <c r="Z1295" s="340"/>
      <c r="AE1295" s="340"/>
      <c r="AI1295" s="340"/>
      <c r="AN1295" s="340"/>
      <c r="AO1295" s="340"/>
      <c r="AS1295" s="340"/>
      <c r="AX1295" s="340"/>
      <c r="BB1295" s="340"/>
      <c r="BD1295" s="339"/>
    </row>
    <row r="1296" spans="7:56" s="338" customFormat="1">
      <c r="G1296" s="340"/>
      <c r="L1296" s="340"/>
      <c r="P1296" s="340"/>
      <c r="U1296" s="340"/>
      <c r="V1296" s="340"/>
      <c r="Z1296" s="340"/>
      <c r="AE1296" s="340"/>
      <c r="AI1296" s="340"/>
      <c r="AN1296" s="340"/>
      <c r="AO1296" s="340"/>
      <c r="AS1296" s="340"/>
      <c r="AX1296" s="340"/>
      <c r="BB1296" s="340"/>
      <c r="BD1296" s="339"/>
    </row>
    <row r="1297" spans="7:56" s="338" customFormat="1">
      <c r="G1297" s="340"/>
      <c r="L1297" s="340"/>
      <c r="P1297" s="340"/>
      <c r="U1297" s="340"/>
      <c r="V1297" s="340"/>
      <c r="Z1297" s="340"/>
      <c r="AE1297" s="340"/>
      <c r="AI1297" s="340"/>
      <c r="AN1297" s="340"/>
      <c r="AO1297" s="340"/>
      <c r="AS1297" s="340"/>
      <c r="AX1297" s="340"/>
      <c r="BB1297" s="340"/>
      <c r="BD1297" s="339"/>
    </row>
    <row r="1298" spans="7:56" s="338" customFormat="1">
      <c r="G1298" s="340"/>
      <c r="L1298" s="340"/>
      <c r="P1298" s="340"/>
      <c r="U1298" s="340"/>
      <c r="V1298" s="340"/>
      <c r="Z1298" s="340"/>
      <c r="AE1298" s="340"/>
      <c r="AI1298" s="340"/>
      <c r="AN1298" s="340"/>
      <c r="AO1298" s="340"/>
      <c r="AS1298" s="340"/>
      <c r="AX1298" s="340"/>
      <c r="BB1298" s="340"/>
      <c r="BD1298" s="339"/>
    </row>
    <row r="1299" spans="7:56" s="338" customFormat="1">
      <c r="G1299" s="340"/>
      <c r="L1299" s="340"/>
      <c r="P1299" s="340"/>
      <c r="U1299" s="340"/>
      <c r="V1299" s="340"/>
      <c r="Z1299" s="340"/>
      <c r="AE1299" s="340"/>
      <c r="AI1299" s="340"/>
      <c r="AN1299" s="340"/>
      <c r="AO1299" s="340"/>
      <c r="AS1299" s="340"/>
      <c r="AX1299" s="340"/>
      <c r="BB1299" s="340"/>
      <c r="BD1299" s="339"/>
    </row>
    <row r="1300" spans="7:56" s="338" customFormat="1">
      <c r="G1300" s="340"/>
      <c r="L1300" s="340"/>
      <c r="P1300" s="340"/>
      <c r="U1300" s="340"/>
      <c r="V1300" s="340"/>
      <c r="Z1300" s="340"/>
      <c r="AE1300" s="340"/>
      <c r="AI1300" s="340"/>
      <c r="AN1300" s="340"/>
      <c r="AO1300" s="340"/>
      <c r="AS1300" s="340"/>
      <c r="AX1300" s="340"/>
      <c r="BB1300" s="340"/>
      <c r="BD1300" s="339"/>
    </row>
    <row r="1301" spans="7:56" s="338" customFormat="1">
      <c r="G1301" s="340"/>
      <c r="L1301" s="340"/>
      <c r="P1301" s="340"/>
      <c r="U1301" s="340"/>
      <c r="V1301" s="340"/>
      <c r="Z1301" s="340"/>
      <c r="AE1301" s="340"/>
      <c r="AI1301" s="340"/>
      <c r="AN1301" s="340"/>
      <c r="AO1301" s="340"/>
      <c r="AS1301" s="340"/>
      <c r="AX1301" s="340"/>
      <c r="BB1301" s="340"/>
      <c r="BD1301" s="339"/>
    </row>
    <row r="1302" spans="7:56" s="338" customFormat="1">
      <c r="G1302" s="340"/>
      <c r="L1302" s="340"/>
      <c r="P1302" s="340"/>
      <c r="U1302" s="340"/>
      <c r="V1302" s="340"/>
      <c r="Z1302" s="340"/>
      <c r="AE1302" s="340"/>
      <c r="AI1302" s="340"/>
      <c r="AN1302" s="340"/>
      <c r="AO1302" s="340"/>
      <c r="AS1302" s="340"/>
      <c r="AX1302" s="340"/>
      <c r="BB1302" s="340"/>
      <c r="BD1302" s="339"/>
    </row>
    <row r="1303" spans="7:56" s="338" customFormat="1">
      <c r="G1303" s="340"/>
      <c r="L1303" s="340"/>
      <c r="P1303" s="340"/>
      <c r="U1303" s="340"/>
      <c r="V1303" s="340"/>
      <c r="Z1303" s="340"/>
      <c r="AE1303" s="340"/>
      <c r="AI1303" s="340"/>
      <c r="AN1303" s="340"/>
      <c r="AO1303" s="340"/>
      <c r="AS1303" s="340"/>
      <c r="AX1303" s="340"/>
      <c r="BB1303" s="340"/>
      <c r="BD1303" s="339"/>
    </row>
    <row r="1304" spans="7:56" s="338" customFormat="1">
      <c r="G1304" s="340"/>
      <c r="L1304" s="340"/>
      <c r="P1304" s="340"/>
      <c r="U1304" s="340"/>
      <c r="V1304" s="340"/>
      <c r="Z1304" s="340"/>
      <c r="AE1304" s="340"/>
      <c r="AI1304" s="340"/>
      <c r="AN1304" s="340"/>
      <c r="AO1304" s="340"/>
      <c r="AS1304" s="340"/>
      <c r="AX1304" s="340"/>
      <c r="BB1304" s="340"/>
      <c r="BD1304" s="339"/>
    </row>
    <row r="1305" spans="7:56" s="338" customFormat="1">
      <c r="G1305" s="340"/>
      <c r="L1305" s="340"/>
      <c r="P1305" s="340"/>
      <c r="U1305" s="340"/>
      <c r="V1305" s="340"/>
      <c r="Z1305" s="340"/>
      <c r="AE1305" s="340"/>
      <c r="AI1305" s="340"/>
      <c r="AN1305" s="340"/>
      <c r="AO1305" s="340"/>
      <c r="AS1305" s="340"/>
      <c r="AX1305" s="340"/>
      <c r="BB1305" s="340"/>
      <c r="BD1305" s="339"/>
    </row>
    <row r="1306" spans="7:56" s="338" customFormat="1">
      <c r="G1306" s="340"/>
      <c r="L1306" s="340"/>
      <c r="P1306" s="340"/>
      <c r="U1306" s="340"/>
      <c r="V1306" s="340"/>
      <c r="Z1306" s="340"/>
      <c r="AE1306" s="340"/>
      <c r="AI1306" s="340"/>
      <c r="AN1306" s="340"/>
      <c r="AO1306" s="340"/>
      <c r="AS1306" s="340"/>
      <c r="AX1306" s="340"/>
      <c r="BB1306" s="340"/>
      <c r="BD1306" s="339"/>
    </row>
    <row r="1307" spans="7:56" s="338" customFormat="1">
      <c r="G1307" s="340"/>
      <c r="L1307" s="340"/>
      <c r="P1307" s="340"/>
      <c r="U1307" s="340"/>
      <c r="V1307" s="340"/>
      <c r="Z1307" s="340"/>
      <c r="AE1307" s="340"/>
      <c r="AI1307" s="340"/>
      <c r="AN1307" s="340"/>
      <c r="AO1307" s="340"/>
      <c r="AS1307" s="340"/>
      <c r="AX1307" s="340"/>
      <c r="BB1307" s="340"/>
      <c r="BD1307" s="339"/>
    </row>
    <row r="1308" spans="7:56" s="338" customFormat="1">
      <c r="G1308" s="340"/>
      <c r="L1308" s="340"/>
      <c r="P1308" s="340"/>
      <c r="U1308" s="340"/>
      <c r="V1308" s="340"/>
      <c r="Z1308" s="340"/>
      <c r="AE1308" s="340"/>
      <c r="AI1308" s="340"/>
      <c r="AN1308" s="340"/>
      <c r="AO1308" s="340"/>
      <c r="AS1308" s="340"/>
      <c r="AX1308" s="340"/>
      <c r="BB1308" s="340"/>
      <c r="BD1308" s="339"/>
    </row>
    <row r="1309" spans="7:56" s="338" customFormat="1">
      <c r="G1309" s="340"/>
      <c r="L1309" s="340"/>
      <c r="P1309" s="340"/>
      <c r="U1309" s="340"/>
      <c r="V1309" s="340"/>
      <c r="Z1309" s="340"/>
      <c r="AE1309" s="340"/>
      <c r="AI1309" s="340"/>
      <c r="AN1309" s="340"/>
      <c r="AO1309" s="340"/>
      <c r="AS1309" s="340"/>
      <c r="AX1309" s="340"/>
      <c r="BB1309" s="340"/>
      <c r="BD1309" s="339"/>
    </row>
    <row r="1310" spans="7:56" s="338" customFormat="1">
      <c r="G1310" s="340"/>
      <c r="L1310" s="340"/>
      <c r="P1310" s="340"/>
      <c r="U1310" s="340"/>
      <c r="V1310" s="340"/>
      <c r="Z1310" s="340"/>
      <c r="AE1310" s="340"/>
      <c r="AI1310" s="340"/>
      <c r="AN1310" s="340"/>
      <c r="AO1310" s="340"/>
      <c r="AS1310" s="340"/>
      <c r="AX1310" s="340"/>
      <c r="BB1310" s="340"/>
      <c r="BD1310" s="339"/>
    </row>
    <row r="1311" spans="7:56" s="338" customFormat="1">
      <c r="G1311" s="340"/>
      <c r="L1311" s="340"/>
      <c r="P1311" s="340"/>
      <c r="U1311" s="340"/>
      <c r="V1311" s="340"/>
      <c r="Z1311" s="340"/>
      <c r="AE1311" s="340"/>
      <c r="AI1311" s="340"/>
      <c r="AN1311" s="340"/>
      <c r="AO1311" s="340"/>
      <c r="AS1311" s="340"/>
      <c r="AX1311" s="340"/>
      <c r="BB1311" s="340"/>
      <c r="BD1311" s="339"/>
    </row>
    <row r="1312" spans="7:56" s="338" customFormat="1">
      <c r="G1312" s="340"/>
      <c r="L1312" s="340"/>
      <c r="P1312" s="340"/>
      <c r="U1312" s="340"/>
      <c r="V1312" s="340"/>
      <c r="Z1312" s="340"/>
      <c r="AE1312" s="340"/>
      <c r="AI1312" s="340"/>
      <c r="AN1312" s="340"/>
      <c r="AO1312" s="340"/>
      <c r="AS1312" s="340"/>
      <c r="AX1312" s="340"/>
      <c r="BB1312" s="340"/>
      <c r="BD1312" s="339"/>
    </row>
    <row r="1313" spans="7:56" s="338" customFormat="1">
      <c r="G1313" s="340"/>
      <c r="L1313" s="340"/>
      <c r="P1313" s="340"/>
      <c r="U1313" s="340"/>
      <c r="V1313" s="340"/>
      <c r="Z1313" s="340"/>
      <c r="AE1313" s="340"/>
      <c r="AI1313" s="340"/>
      <c r="AN1313" s="340"/>
      <c r="AO1313" s="340"/>
      <c r="AS1313" s="340"/>
      <c r="AX1313" s="340"/>
      <c r="BB1313" s="340"/>
      <c r="BD1313" s="339"/>
    </row>
    <row r="1314" spans="7:56" s="338" customFormat="1">
      <c r="G1314" s="340"/>
      <c r="L1314" s="340"/>
      <c r="P1314" s="340"/>
      <c r="U1314" s="340"/>
      <c r="V1314" s="340"/>
      <c r="Z1314" s="340"/>
      <c r="AE1314" s="340"/>
      <c r="AI1314" s="340"/>
      <c r="AN1314" s="340"/>
      <c r="AO1314" s="340"/>
      <c r="AS1314" s="340"/>
      <c r="AX1314" s="340"/>
      <c r="BB1314" s="340"/>
      <c r="BD1314" s="339"/>
    </row>
    <row r="1315" spans="7:56" s="338" customFormat="1">
      <c r="G1315" s="340"/>
      <c r="L1315" s="340"/>
      <c r="P1315" s="340"/>
      <c r="U1315" s="340"/>
      <c r="V1315" s="340"/>
      <c r="Z1315" s="340"/>
      <c r="AE1315" s="340"/>
      <c r="AI1315" s="340"/>
      <c r="AN1315" s="340"/>
      <c r="AO1315" s="340"/>
      <c r="AS1315" s="340"/>
      <c r="AX1315" s="340"/>
      <c r="BB1315" s="340"/>
      <c r="BD1315" s="339"/>
    </row>
    <row r="1316" spans="7:56" s="338" customFormat="1">
      <c r="G1316" s="340"/>
      <c r="L1316" s="340"/>
      <c r="P1316" s="340"/>
      <c r="U1316" s="340"/>
      <c r="V1316" s="340"/>
      <c r="Z1316" s="340"/>
      <c r="AE1316" s="340"/>
      <c r="AI1316" s="340"/>
      <c r="AN1316" s="340"/>
      <c r="AO1316" s="340"/>
      <c r="AS1316" s="340"/>
      <c r="AX1316" s="340"/>
      <c r="BB1316" s="340"/>
      <c r="BD1316" s="339"/>
    </row>
    <row r="1317" spans="7:56" s="338" customFormat="1">
      <c r="G1317" s="340"/>
      <c r="L1317" s="340"/>
      <c r="P1317" s="340"/>
      <c r="U1317" s="340"/>
      <c r="V1317" s="340"/>
      <c r="Z1317" s="340"/>
      <c r="AE1317" s="340"/>
      <c r="AI1317" s="340"/>
      <c r="AN1317" s="340"/>
      <c r="AO1317" s="340"/>
      <c r="AS1317" s="340"/>
      <c r="AX1317" s="340"/>
      <c r="BB1317" s="340"/>
      <c r="BD1317" s="339"/>
    </row>
    <row r="1318" spans="7:56" s="338" customFormat="1">
      <c r="G1318" s="340"/>
      <c r="L1318" s="340"/>
      <c r="P1318" s="340"/>
      <c r="U1318" s="340"/>
      <c r="V1318" s="340"/>
      <c r="Z1318" s="340"/>
      <c r="AE1318" s="340"/>
      <c r="AI1318" s="340"/>
      <c r="AN1318" s="340"/>
      <c r="AO1318" s="340"/>
      <c r="AS1318" s="340"/>
      <c r="AX1318" s="340"/>
      <c r="BB1318" s="340"/>
      <c r="BD1318" s="339"/>
    </row>
    <row r="1319" spans="7:56" s="338" customFormat="1">
      <c r="G1319" s="340"/>
      <c r="L1319" s="340"/>
      <c r="P1319" s="340"/>
      <c r="U1319" s="340"/>
      <c r="V1319" s="340"/>
      <c r="Z1319" s="340"/>
      <c r="AE1319" s="340"/>
      <c r="AI1319" s="340"/>
      <c r="AN1319" s="340"/>
      <c r="AO1319" s="340"/>
      <c r="AS1319" s="340"/>
      <c r="AX1319" s="340"/>
      <c r="BB1319" s="340"/>
      <c r="BD1319" s="339"/>
    </row>
    <row r="1320" spans="7:56" s="338" customFormat="1">
      <c r="G1320" s="340"/>
      <c r="L1320" s="340"/>
      <c r="P1320" s="340"/>
      <c r="U1320" s="340"/>
      <c r="V1320" s="340"/>
      <c r="Z1320" s="340"/>
      <c r="AE1320" s="340"/>
      <c r="AI1320" s="340"/>
      <c r="AN1320" s="340"/>
      <c r="AO1320" s="340"/>
      <c r="AS1320" s="340"/>
      <c r="AX1320" s="340"/>
      <c r="BB1320" s="340"/>
      <c r="BD1320" s="339"/>
    </row>
    <row r="1321" spans="7:56" s="338" customFormat="1">
      <c r="G1321" s="340"/>
      <c r="L1321" s="340"/>
      <c r="P1321" s="340"/>
      <c r="U1321" s="340"/>
      <c r="V1321" s="340"/>
      <c r="Z1321" s="340"/>
      <c r="AE1321" s="340"/>
      <c r="AI1321" s="340"/>
      <c r="AN1321" s="340"/>
      <c r="AO1321" s="340"/>
      <c r="AS1321" s="340"/>
      <c r="AX1321" s="340"/>
      <c r="BB1321" s="340"/>
      <c r="BD1321" s="339"/>
    </row>
    <row r="1322" spans="7:56" s="338" customFormat="1">
      <c r="G1322" s="340"/>
      <c r="L1322" s="340"/>
      <c r="P1322" s="340"/>
      <c r="U1322" s="340"/>
      <c r="V1322" s="340"/>
      <c r="Z1322" s="340"/>
      <c r="AE1322" s="340"/>
      <c r="AI1322" s="340"/>
      <c r="AN1322" s="340"/>
      <c r="AO1322" s="340"/>
      <c r="AS1322" s="340"/>
      <c r="AX1322" s="340"/>
      <c r="BB1322" s="340"/>
      <c r="BD1322" s="339"/>
    </row>
    <row r="1323" spans="7:56" s="338" customFormat="1">
      <c r="G1323" s="340"/>
      <c r="L1323" s="340"/>
      <c r="P1323" s="340"/>
      <c r="U1323" s="340"/>
      <c r="V1323" s="340"/>
      <c r="Z1323" s="340"/>
      <c r="AE1323" s="340"/>
      <c r="AI1323" s="340"/>
      <c r="AN1323" s="340"/>
      <c r="AO1323" s="340"/>
      <c r="AS1323" s="340"/>
      <c r="AX1323" s="340"/>
      <c r="BB1323" s="340"/>
      <c r="BD1323" s="339"/>
    </row>
    <row r="1324" spans="7:56" s="338" customFormat="1">
      <c r="G1324" s="340"/>
      <c r="L1324" s="340"/>
      <c r="P1324" s="340"/>
      <c r="U1324" s="340"/>
      <c r="V1324" s="340"/>
      <c r="Z1324" s="340"/>
      <c r="AE1324" s="340"/>
      <c r="AI1324" s="340"/>
      <c r="AN1324" s="340"/>
      <c r="AO1324" s="340"/>
      <c r="AS1324" s="340"/>
      <c r="AX1324" s="340"/>
      <c r="BB1324" s="340"/>
      <c r="BD1324" s="339"/>
    </row>
    <row r="1325" spans="7:56" s="338" customFormat="1">
      <c r="G1325" s="340"/>
      <c r="L1325" s="340"/>
      <c r="P1325" s="340"/>
      <c r="U1325" s="340"/>
      <c r="V1325" s="340"/>
      <c r="Z1325" s="340"/>
      <c r="AE1325" s="340"/>
      <c r="AI1325" s="340"/>
      <c r="AN1325" s="340"/>
      <c r="AO1325" s="340"/>
      <c r="AS1325" s="340"/>
      <c r="AX1325" s="340"/>
      <c r="BB1325" s="340"/>
      <c r="BD1325" s="339"/>
    </row>
    <row r="1326" spans="7:56" s="338" customFormat="1">
      <c r="G1326" s="340"/>
      <c r="L1326" s="340"/>
      <c r="P1326" s="340"/>
      <c r="U1326" s="340"/>
      <c r="V1326" s="340"/>
      <c r="Z1326" s="340"/>
      <c r="AE1326" s="340"/>
      <c r="AI1326" s="340"/>
      <c r="AN1326" s="340"/>
      <c r="AO1326" s="340"/>
      <c r="AS1326" s="340"/>
      <c r="AX1326" s="340"/>
      <c r="BB1326" s="340"/>
      <c r="BD1326" s="339"/>
    </row>
    <row r="1327" spans="7:56" s="338" customFormat="1">
      <c r="G1327" s="340"/>
      <c r="L1327" s="340"/>
      <c r="P1327" s="340"/>
      <c r="U1327" s="340"/>
      <c r="V1327" s="340"/>
      <c r="Z1327" s="340"/>
      <c r="AE1327" s="340"/>
      <c r="AI1327" s="340"/>
      <c r="AN1327" s="340"/>
      <c r="AO1327" s="340"/>
      <c r="AS1327" s="340"/>
      <c r="AX1327" s="340"/>
      <c r="BB1327" s="340"/>
      <c r="BD1327" s="339"/>
    </row>
    <row r="1328" spans="7:56" s="338" customFormat="1">
      <c r="G1328" s="340"/>
      <c r="L1328" s="340"/>
      <c r="P1328" s="340"/>
      <c r="U1328" s="340"/>
      <c r="V1328" s="340"/>
      <c r="Z1328" s="340"/>
      <c r="AE1328" s="340"/>
      <c r="AI1328" s="340"/>
      <c r="AN1328" s="340"/>
      <c r="AO1328" s="340"/>
      <c r="AS1328" s="340"/>
      <c r="AX1328" s="340"/>
      <c r="BB1328" s="340"/>
      <c r="BD1328" s="339"/>
    </row>
    <row r="1329" spans="7:56" s="338" customFormat="1">
      <c r="G1329" s="340"/>
      <c r="L1329" s="340"/>
      <c r="P1329" s="340"/>
      <c r="U1329" s="340"/>
      <c r="V1329" s="340"/>
      <c r="Z1329" s="340"/>
      <c r="AE1329" s="340"/>
      <c r="AI1329" s="340"/>
      <c r="AN1329" s="340"/>
      <c r="AO1329" s="340"/>
      <c r="AS1329" s="340"/>
      <c r="AX1329" s="340"/>
      <c r="BB1329" s="340"/>
      <c r="BD1329" s="339"/>
    </row>
    <row r="1330" spans="7:56" s="338" customFormat="1">
      <c r="G1330" s="340"/>
      <c r="L1330" s="340"/>
      <c r="P1330" s="340"/>
      <c r="U1330" s="340"/>
      <c r="V1330" s="340"/>
      <c r="Z1330" s="340"/>
      <c r="AE1330" s="340"/>
      <c r="AI1330" s="340"/>
      <c r="AN1330" s="340"/>
      <c r="AO1330" s="340"/>
      <c r="AS1330" s="340"/>
      <c r="AX1330" s="340"/>
      <c r="BB1330" s="340"/>
      <c r="BD1330" s="339"/>
    </row>
    <row r="1331" spans="7:56" s="338" customFormat="1">
      <c r="G1331" s="340"/>
      <c r="L1331" s="340"/>
      <c r="P1331" s="340"/>
      <c r="U1331" s="340"/>
      <c r="V1331" s="340"/>
      <c r="Z1331" s="340"/>
      <c r="AE1331" s="340"/>
      <c r="AI1331" s="340"/>
      <c r="AN1331" s="340"/>
      <c r="AO1331" s="340"/>
      <c r="AS1331" s="340"/>
      <c r="AX1331" s="340"/>
      <c r="BB1331" s="340"/>
      <c r="BD1331" s="339"/>
    </row>
    <row r="1332" spans="7:56" s="338" customFormat="1">
      <c r="G1332" s="340"/>
      <c r="L1332" s="340"/>
      <c r="P1332" s="340"/>
      <c r="U1332" s="340"/>
      <c r="V1332" s="340"/>
      <c r="Z1332" s="340"/>
      <c r="AE1332" s="340"/>
      <c r="AI1332" s="340"/>
      <c r="AN1332" s="340"/>
      <c r="AO1332" s="340"/>
      <c r="AS1332" s="340"/>
      <c r="AX1332" s="340"/>
      <c r="BB1332" s="340"/>
      <c r="BD1332" s="339"/>
    </row>
    <row r="1333" spans="7:56" s="338" customFormat="1">
      <c r="G1333" s="340"/>
      <c r="L1333" s="340"/>
      <c r="P1333" s="340"/>
      <c r="U1333" s="340"/>
      <c r="V1333" s="340"/>
      <c r="Z1333" s="340"/>
      <c r="AE1333" s="340"/>
      <c r="AI1333" s="340"/>
      <c r="AN1333" s="340"/>
      <c r="AO1333" s="340"/>
      <c r="AS1333" s="340"/>
      <c r="AX1333" s="340"/>
      <c r="BB1333" s="340"/>
      <c r="BD1333" s="339"/>
    </row>
    <row r="1334" spans="7:56" s="338" customFormat="1">
      <c r="G1334" s="340"/>
      <c r="L1334" s="340"/>
      <c r="P1334" s="340"/>
      <c r="U1334" s="340"/>
      <c r="V1334" s="340"/>
      <c r="Z1334" s="340"/>
      <c r="AE1334" s="340"/>
      <c r="AI1334" s="340"/>
      <c r="AN1334" s="340"/>
      <c r="AO1334" s="340"/>
      <c r="AS1334" s="340"/>
      <c r="AX1334" s="340"/>
      <c r="BB1334" s="340"/>
      <c r="BD1334" s="339"/>
    </row>
    <row r="1335" spans="7:56" s="338" customFormat="1">
      <c r="G1335" s="340"/>
      <c r="L1335" s="340"/>
      <c r="P1335" s="340"/>
      <c r="U1335" s="340"/>
      <c r="V1335" s="340"/>
      <c r="Z1335" s="340"/>
      <c r="AE1335" s="340"/>
      <c r="AI1335" s="340"/>
      <c r="AN1335" s="340"/>
      <c r="AO1335" s="340"/>
      <c r="AS1335" s="340"/>
      <c r="AX1335" s="340"/>
      <c r="BB1335" s="340"/>
      <c r="BD1335" s="339"/>
    </row>
    <row r="1336" spans="7:56" s="338" customFormat="1">
      <c r="G1336" s="340"/>
      <c r="L1336" s="340"/>
      <c r="P1336" s="340"/>
      <c r="U1336" s="340"/>
      <c r="V1336" s="340"/>
      <c r="Z1336" s="340"/>
      <c r="AE1336" s="340"/>
      <c r="AI1336" s="340"/>
      <c r="AN1336" s="340"/>
      <c r="AO1336" s="340"/>
      <c r="AS1336" s="340"/>
      <c r="AX1336" s="340"/>
      <c r="BB1336" s="340"/>
      <c r="BD1336" s="339"/>
    </row>
    <row r="1337" spans="7:56" s="338" customFormat="1">
      <c r="G1337" s="340"/>
      <c r="L1337" s="340"/>
      <c r="P1337" s="340"/>
      <c r="U1337" s="340"/>
      <c r="V1337" s="340"/>
      <c r="Z1337" s="340"/>
      <c r="AE1337" s="340"/>
      <c r="AI1337" s="340"/>
      <c r="AN1337" s="340"/>
      <c r="AO1337" s="340"/>
      <c r="AS1337" s="340"/>
      <c r="AX1337" s="340"/>
      <c r="BB1337" s="340"/>
      <c r="BD1337" s="339"/>
    </row>
    <row r="1338" spans="7:56" s="338" customFormat="1">
      <c r="G1338" s="340"/>
      <c r="L1338" s="340"/>
      <c r="P1338" s="340"/>
      <c r="U1338" s="340"/>
      <c r="V1338" s="340"/>
      <c r="Z1338" s="340"/>
      <c r="AE1338" s="340"/>
      <c r="AI1338" s="340"/>
      <c r="AN1338" s="340"/>
      <c r="AO1338" s="340"/>
      <c r="AS1338" s="340"/>
      <c r="AX1338" s="340"/>
      <c r="BB1338" s="340"/>
      <c r="BD1338" s="339"/>
    </row>
    <row r="1339" spans="7:56" s="338" customFormat="1">
      <c r="G1339" s="340"/>
      <c r="L1339" s="340"/>
      <c r="P1339" s="340"/>
      <c r="U1339" s="340"/>
      <c r="V1339" s="340"/>
      <c r="Z1339" s="340"/>
      <c r="AE1339" s="340"/>
      <c r="AI1339" s="340"/>
      <c r="AN1339" s="340"/>
      <c r="AO1339" s="340"/>
      <c r="AS1339" s="340"/>
      <c r="AX1339" s="340"/>
      <c r="BB1339" s="340"/>
      <c r="BD1339" s="339"/>
    </row>
    <row r="1340" spans="7:56" s="338" customFormat="1">
      <c r="G1340" s="340"/>
      <c r="L1340" s="340"/>
      <c r="P1340" s="340"/>
      <c r="U1340" s="340"/>
      <c r="V1340" s="340"/>
      <c r="Z1340" s="340"/>
      <c r="AE1340" s="340"/>
      <c r="AI1340" s="340"/>
      <c r="AN1340" s="340"/>
      <c r="AO1340" s="340"/>
      <c r="AS1340" s="340"/>
      <c r="AX1340" s="340"/>
      <c r="BB1340" s="340"/>
      <c r="BD1340" s="339"/>
    </row>
    <row r="1341" spans="7:56" s="338" customFormat="1">
      <c r="G1341" s="340"/>
      <c r="L1341" s="340"/>
      <c r="P1341" s="340"/>
      <c r="U1341" s="340"/>
      <c r="V1341" s="340"/>
      <c r="Z1341" s="340"/>
      <c r="AE1341" s="340"/>
      <c r="AI1341" s="340"/>
      <c r="AN1341" s="340"/>
      <c r="AO1341" s="340"/>
      <c r="AS1341" s="340"/>
      <c r="AX1341" s="340"/>
      <c r="BB1341" s="340"/>
      <c r="BD1341" s="339"/>
    </row>
    <row r="1342" spans="7:56" s="338" customFormat="1">
      <c r="G1342" s="340"/>
      <c r="L1342" s="340"/>
      <c r="P1342" s="340"/>
      <c r="U1342" s="340"/>
      <c r="V1342" s="340"/>
      <c r="Z1342" s="340"/>
      <c r="AE1342" s="340"/>
      <c r="AI1342" s="340"/>
      <c r="AN1342" s="340"/>
      <c r="AO1342" s="340"/>
      <c r="AS1342" s="340"/>
      <c r="AX1342" s="340"/>
      <c r="BB1342" s="340"/>
      <c r="BD1342" s="339"/>
    </row>
    <row r="1343" spans="7:56" s="338" customFormat="1">
      <c r="G1343" s="340"/>
      <c r="L1343" s="340"/>
      <c r="P1343" s="340"/>
      <c r="U1343" s="340"/>
      <c r="V1343" s="340"/>
      <c r="Z1343" s="340"/>
      <c r="AE1343" s="340"/>
      <c r="AI1343" s="340"/>
      <c r="AN1343" s="340"/>
      <c r="AO1343" s="340"/>
      <c r="AS1343" s="340"/>
      <c r="AX1343" s="340"/>
      <c r="BB1343" s="340"/>
      <c r="BD1343" s="339"/>
    </row>
    <row r="1344" spans="7:56" s="338" customFormat="1">
      <c r="G1344" s="340"/>
      <c r="L1344" s="340"/>
      <c r="P1344" s="340"/>
      <c r="U1344" s="340"/>
      <c r="V1344" s="340"/>
      <c r="Z1344" s="340"/>
      <c r="AE1344" s="340"/>
      <c r="AI1344" s="340"/>
      <c r="AN1344" s="340"/>
      <c r="AO1344" s="340"/>
      <c r="AS1344" s="340"/>
      <c r="AX1344" s="340"/>
      <c r="BB1344" s="340"/>
      <c r="BD1344" s="339"/>
    </row>
    <row r="1345" spans="7:56" s="338" customFormat="1">
      <c r="G1345" s="340"/>
      <c r="L1345" s="340"/>
      <c r="P1345" s="340"/>
      <c r="U1345" s="340"/>
      <c r="V1345" s="340"/>
      <c r="Z1345" s="340"/>
      <c r="AE1345" s="340"/>
      <c r="AI1345" s="340"/>
      <c r="AN1345" s="340"/>
      <c r="AO1345" s="340"/>
      <c r="AS1345" s="340"/>
      <c r="AX1345" s="340"/>
      <c r="BB1345" s="340"/>
      <c r="BD1345" s="339"/>
    </row>
    <row r="1346" spans="7:56" s="338" customFormat="1">
      <c r="G1346" s="340"/>
      <c r="L1346" s="340"/>
      <c r="P1346" s="340"/>
      <c r="U1346" s="340"/>
      <c r="V1346" s="340"/>
      <c r="Z1346" s="340"/>
      <c r="AE1346" s="340"/>
      <c r="AI1346" s="340"/>
      <c r="AN1346" s="340"/>
      <c r="AO1346" s="340"/>
      <c r="AS1346" s="340"/>
      <c r="AX1346" s="340"/>
      <c r="BB1346" s="340"/>
      <c r="BD1346" s="339"/>
    </row>
    <row r="1347" spans="7:56" s="338" customFormat="1">
      <c r="G1347" s="340"/>
      <c r="L1347" s="340"/>
      <c r="P1347" s="340"/>
      <c r="U1347" s="340"/>
      <c r="V1347" s="340"/>
      <c r="Z1347" s="340"/>
      <c r="AE1347" s="340"/>
      <c r="AI1347" s="340"/>
      <c r="AN1347" s="340"/>
      <c r="AO1347" s="340"/>
      <c r="AS1347" s="340"/>
      <c r="AX1347" s="340"/>
      <c r="BB1347" s="340"/>
      <c r="BD1347" s="339"/>
    </row>
    <row r="1348" spans="7:56" s="338" customFormat="1">
      <c r="G1348" s="340"/>
      <c r="L1348" s="340"/>
      <c r="P1348" s="340"/>
      <c r="U1348" s="340"/>
      <c r="V1348" s="340"/>
      <c r="Z1348" s="340"/>
      <c r="AE1348" s="340"/>
      <c r="AI1348" s="340"/>
      <c r="AN1348" s="340"/>
      <c r="AO1348" s="340"/>
      <c r="AS1348" s="340"/>
      <c r="AX1348" s="340"/>
      <c r="BB1348" s="340"/>
      <c r="BD1348" s="339"/>
    </row>
    <row r="1349" spans="7:56" s="338" customFormat="1">
      <c r="G1349" s="340"/>
      <c r="L1349" s="340"/>
      <c r="P1349" s="340"/>
      <c r="U1349" s="340"/>
      <c r="V1349" s="340"/>
      <c r="Z1349" s="340"/>
      <c r="AE1349" s="340"/>
      <c r="AI1349" s="340"/>
      <c r="AN1349" s="340"/>
      <c r="AO1349" s="340"/>
      <c r="AS1349" s="340"/>
      <c r="AX1349" s="340"/>
      <c r="BB1349" s="340"/>
      <c r="BD1349" s="339"/>
    </row>
    <row r="1350" spans="7:56" s="338" customFormat="1">
      <c r="G1350" s="340"/>
      <c r="L1350" s="340"/>
      <c r="P1350" s="340"/>
      <c r="U1350" s="340"/>
      <c r="V1350" s="340"/>
      <c r="Z1350" s="340"/>
      <c r="AE1350" s="340"/>
      <c r="AI1350" s="340"/>
      <c r="AN1350" s="340"/>
      <c r="AO1350" s="340"/>
      <c r="AS1350" s="340"/>
      <c r="AX1350" s="340"/>
      <c r="BB1350" s="340"/>
      <c r="BD1350" s="339"/>
    </row>
    <row r="1351" spans="7:56" s="338" customFormat="1">
      <c r="G1351" s="340"/>
      <c r="L1351" s="340"/>
      <c r="P1351" s="340"/>
      <c r="U1351" s="340"/>
      <c r="V1351" s="340"/>
      <c r="Z1351" s="340"/>
      <c r="AE1351" s="340"/>
      <c r="AI1351" s="340"/>
      <c r="AN1351" s="340"/>
      <c r="AO1351" s="340"/>
      <c r="AS1351" s="340"/>
      <c r="AX1351" s="340"/>
      <c r="BB1351" s="340"/>
      <c r="BD1351" s="339"/>
    </row>
    <row r="1352" spans="7:56" s="338" customFormat="1">
      <c r="G1352" s="340"/>
      <c r="L1352" s="340"/>
      <c r="P1352" s="340"/>
      <c r="U1352" s="340"/>
      <c r="V1352" s="340"/>
      <c r="Z1352" s="340"/>
      <c r="AE1352" s="340"/>
      <c r="AI1352" s="340"/>
      <c r="AN1352" s="340"/>
      <c r="AO1352" s="340"/>
      <c r="AS1352" s="340"/>
      <c r="AX1352" s="340"/>
      <c r="BB1352" s="340"/>
      <c r="BD1352" s="339"/>
    </row>
    <row r="1353" spans="7:56" s="338" customFormat="1">
      <c r="G1353" s="340"/>
      <c r="L1353" s="340"/>
      <c r="P1353" s="340"/>
      <c r="U1353" s="340"/>
      <c r="V1353" s="340"/>
      <c r="Z1353" s="340"/>
      <c r="AE1353" s="340"/>
      <c r="AI1353" s="340"/>
      <c r="AN1353" s="340"/>
      <c r="AO1353" s="340"/>
      <c r="AS1353" s="340"/>
      <c r="AX1353" s="340"/>
      <c r="BB1353" s="340"/>
      <c r="BD1353" s="339"/>
    </row>
    <row r="1354" spans="7:56" s="338" customFormat="1">
      <c r="G1354" s="340"/>
      <c r="L1354" s="340"/>
      <c r="P1354" s="340"/>
      <c r="U1354" s="340"/>
      <c r="V1354" s="340"/>
      <c r="Z1354" s="340"/>
      <c r="AE1354" s="340"/>
      <c r="AI1354" s="340"/>
      <c r="AN1354" s="340"/>
      <c r="AO1354" s="340"/>
      <c r="AS1354" s="340"/>
      <c r="AX1354" s="340"/>
      <c r="BB1354" s="340"/>
      <c r="BD1354" s="339"/>
    </row>
    <row r="1355" spans="7:56" s="338" customFormat="1">
      <c r="G1355" s="340"/>
      <c r="L1355" s="340"/>
      <c r="P1355" s="340"/>
      <c r="U1355" s="340"/>
      <c r="V1355" s="340"/>
      <c r="Z1355" s="340"/>
      <c r="AE1355" s="340"/>
      <c r="AI1355" s="340"/>
      <c r="AN1355" s="340"/>
      <c r="AO1355" s="340"/>
      <c r="AS1355" s="340"/>
      <c r="AX1355" s="340"/>
      <c r="BB1355" s="340"/>
      <c r="BD1355" s="339"/>
    </row>
    <row r="1356" spans="7:56" s="338" customFormat="1">
      <c r="G1356" s="340"/>
      <c r="L1356" s="340"/>
      <c r="P1356" s="340"/>
      <c r="U1356" s="340"/>
      <c r="V1356" s="340"/>
      <c r="Z1356" s="340"/>
      <c r="AE1356" s="340"/>
      <c r="AI1356" s="340"/>
      <c r="AN1356" s="340"/>
      <c r="AO1356" s="340"/>
      <c r="AS1356" s="340"/>
      <c r="AX1356" s="340"/>
      <c r="BB1356" s="340"/>
      <c r="BD1356" s="339"/>
    </row>
    <row r="1357" spans="7:56" s="338" customFormat="1">
      <c r="G1357" s="340"/>
      <c r="L1357" s="340"/>
      <c r="P1357" s="340"/>
      <c r="U1357" s="340"/>
      <c r="V1357" s="340"/>
      <c r="Z1357" s="340"/>
      <c r="AE1357" s="340"/>
      <c r="AI1357" s="340"/>
      <c r="AN1357" s="340"/>
      <c r="AO1357" s="340"/>
      <c r="AS1357" s="340"/>
      <c r="AX1357" s="340"/>
      <c r="BB1357" s="340"/>
      <c r="BD1357" s="339"/>
    </row>
    <row r="1358" spans="7:56" s="338" customFormat="1">
      <c r="G1358" s="340"/>
      <c r="L1358" s="340"/>
      <c r="P1358" s="340"/>
      <c r="U1358" s="340"/>
      <c r="V1358" s="340"/>
      <c r="Z1358" s="340"/>
      <c r="AE1358" s="340"/>
      <c r="AI1358" s="340"/>
      <c r="AN1358" s="340"/>
      <c r="AO1358" s="340"/>
      <c r="AS1358" s="340"/>
      <c r="AX1358" s="340"/>
      <c r="BB1358" s="340"/>
      <c r="BD1358" s="339"/>
    </row>
    <row r="1359" spans="7:56" s="338" customFormat="1">
      <c r="G1359" s="340"/>
      <c r="L1359" s="340"/>
      <c r="P1359" s="340"/>
      <c r="U1359" s="340"/>
      <c r="V1359" s="340"/>
      <c r="Z1359" s="340"/>
      <c r="AE1359" s="340"/>
      <c r="AI1359" s="340"/>
      <c r="AN1359" s="340"/>
      <c r="AO1359" s="340"/>
      <c r="AS1359" s="340"/>
      <c r="AX1359" s="340"/>
      <c r="BB1359" s="340"/>
      <c r="BD1359" s="339"/>
    </row>
    <row r="1360" spans="7:56" s="338" customFormat="1">
      <c r="G1360" s="340"/>
      <c r="L1360" s="340"/>
      <c r="P1360" s="340"/>
      <c r="U1360" s="340"/>
      <c r="V1360" s="340"/>
      <c r="Z1360" s="340"/>
      <c r="AE1360" s="340"/>
      <c r="AI1360" s="340"/>
      <c r="AN1360" s="340"/>
      <c r="AO1360" s="340"/>
      <c r="AS1360" s="340"/>
      <c r="AX1360" s="340"/>
      <c r="BB1360" s="340"/>
      <c r="BD1360" s="339"/>
    </row>
    <row r="1361" spans="7:56" s="338" customFormat="1">
      <c r="G1361" s="340"/>
      <c r="L1361" s="340"/>
      <c r="P1361" s="340"/>
      <c r="U1361" s="340"/>
      <c r="V1361" s="340"/>
      <c r="Z1361" s="340"/>
      <c r="AE1361" s="340"/>
      <c r="AI1361" s="340"/>
      <c r="AN1361" s="340"/>
      <c r="AO1361" s="340"/>
      <c r="AS1361" s="340"/>
      <c r="AX1361" s="340"/>
      <c r="BB1361" s="340"/>
      <c r="BD1361" s="339"/>
    </row>
    <row r="1362" spans="7:56" s="338" customFormat="1">
      <c r="G1362" s="340"/>
      <c r="L1362" s="340"/>
      <c r="P1362" s="340"/>
      <c r="U1362" s="340"/>
      <c r="V1362" s="340"/>
      <c r="Z1362" s="340"/>
      <c r="AE1362" s="340"/>
      <c r="AI1362" s="340"/>
      <c r="AN1362" s="340"/>
      <c r="AO1362" s="340"/>
      <c r="AS1362" s="340"/>
      <c r="AX1362" s="340"/>
      <c r="BB1362" s="340"/>
      <c r="BD1362" s="339"/>
    </row>
    <row r="1363" spans="7:56" s="338" customFormat="1">
      <c r="G1363" s="340"/>
      <c r="L1363" s="340"/>
      <c r="P1363" s="340"/>
      <c r="U1363" s="340"/>
      <c r="V1363" s="340"/>
      <c r="Z1363" s="340"/>
      <c r="AE1363" s="340"/>
      <c r="AI1363" s="340"/>
      <c r="AN1363" s="340"/>
      <c r="AO1363" s="340"/>
      <c r="AS1363" s="340"/>
      <c r="AX1363" s="340"/>
      <c r="BB1363" s="340"/>
      <c r="BD1363" s="339"/>
    </row>
    <row r="1364" spans="7:56" s="338" customFormat="1">
      <c r="G1364" s="340"/>
      <c r="L1364" s="340"/>
      <c r="P1364" s="340"/>
      <c r="U1364" s="340"/>
      <c r="V1364" s="340"/>
      <c r="Z1364" s="340"/>
      <c r="AE1364" s="340"/>
      <c r="AI1364" s="340"/>
      <c r="AN1364" s="340"/>
      <c r="AO1364" s="340"/>
      <c r="AS1364" s="340"/>
      <c r="AX1364" s="340"/>
      <c r="BB1364" s="340"/>
      <c r="BD1364" s="339"/>
    </row>
    <row r="1365" spans="7:56" s="338" customFormat="1">
      <c r="G1365" s="340"/>
      <c r="L1365" s="340"/>
      <c r="P1365" s="340"/>
      <c r="U1365" s="340"/>
      <c r="V1365" s="340"/>
      <c r="Z1365" s="340"/>
      <c r="AE1365" s="340"/>
      <c r="AI1365" s="340"/>
      <c r="AN1365" s="340"/>
      <c r="AO1365" s="340"/>
      <c r="AS1365" s="340"/>
      <c r="AX1365" s="340"/>
      <c r="BB1365" s="340"/>
      <c r="BD1365" s="339"/>
    </row>
    <row r="1366" spans="7:56" s="338" customFormat="1">
      <c r="G1366" s="340"/>
      <c r="L1366" s="340"/>
      <c r="P1366" s="340"/>
      <c r="U1366" s="340"/>
      <c r="V1366" s="340"/>
      <c r="Z1366" s="340"/>
      <c r="AE1366" s="340"/>
      <c r="AI1366" s="340"/>
      <c r="AN1366" s="340"/>
      <c r="AO1366" s="340"/>
      <c r="AS1366" s="340"/>
      <c r="AX1366" s="340"/>
      <c r="BB1366" s="340"/>
      <c r="BD1366" s="339"/>
    </row>
    <row r="1367" spans="7:56" s="338" customFormat="1">
      <c r="G1367" s="340"/>
      <c r="L1367" s="340"/>
      <c r="P1367" s="340"/>
      <c r="U1367" s="340"/>
      <c r="V1367" s="340"/>
      <c r="Z1367" s="340"/>
      <c r="AE1367" s="340"/>
      <c r="AI1367" s="340"/>
      <c r="AN1367" s="340"/>
      <c r="AO1367" s="340"/>
      <c r="AS1367" s="340"/>
      <c r="AX1367" s="340"/>
      <c r="BB1367" s="340"/>
      <c r="BD1367" s="339"/>
    </row>
    <row r="1368" spans="7:56" s="338" customFormat="1">
      <c r="G1368" s="340"/>
      <c r="L1368" s="340"/>
      <c r="P1368" s="340"/>
      <c r="U1368" s="340"/>
      <c r="V1368" s="340"/>
      <c r="Z1368" s="340"/>
      <c r="AE1368" s="340"/>
      <c r="AI1368" s="340"/>
      <c r="AN1368" s="340"/>
      <c r="AO1368" s="340"/>
      <c r="AS1368" s="340"/>
      <c r="AX1368" s="340"/>
      <c r="BB1368" s="340"/>
      <c r="BD1368" s="339"/>
    </row>
    <row r="1369" spans="7:56" s="338" customFormat="1">
      <c r="G1369" s="340"/>
      <c r="L1369" s="340"/>
      <c r="P1369" s="340"/>
      <c r="U1369" s="340"/>
      <c r="V1369" s="340"/>
      <c r="Z1369" s="340"/>
      <c r="AE1369" s="340"/>
      <c r="AI1369" s="340"/>
      <c r="AN1369" s="340"/>
      <c r="AO1369" s="340"/>
      <c r="AS1369" s="340"/>
      <c r="AX1369" s="340"/>
      <c r="BB1369" s="340"/>
      <c r="BD1369" s="339"/>
    </row>
    <row r="1370" spans="7:56" s="338" customFormat="1">
      <c r="G1370" s="340"/>
      <c r="L1370" s="340"/>
      <c r="P1370" s="340"/>
      <c r="U1370" s="340"/>
      <c r="V1370" s="340"/>
      <c r="Z1370" s="340"/>
      <c r="AE1370" s="340"/>
      <c r="AI1370" s="340"/>
      <c r="AN1370" s="340"/>
      <c r="AO1370" s="340"/>
      <c r="AS1370" s="340"/>
      <c r="AX1370" s="340"/>
      <c r="BB1370" s="340"/>
      <c r="BD1370" s="339"/>
    </row>
    <row r="1371" spans="7:56" s="338" customFormat="1">
      <c r="G1371" s="340"/>
      <c r="L1371" s="340"/>
      <c r="P1371" s="340"/>
      <c r="U1371" s="340"/>
      <c r="V1371" s="340"/>
      <c r="Z1371" s="340"/>
      <c r="AE1371" s="340"/>
      <c r="AI1371" s="340"/>
      <c r="AN1371" s="340"/>
      <c r="AO1371" s="340"/>
      <c r="AS1371" s="340"/>
      <c r="AX1371" s="340"/>
      <c r="BB1371" s="340"/>
      <c r="BD1371" s="339"/>
    </row>
    <row r="1372" spans="7:56" s="338" customFormat="1">
      <c r="G1372" s="340"/>
      <c r="L1372" s="340"/>
      <c r="P1372" s="340"/>
      <c r="U1372" s="340"/>
      <c r="V1372" s="340"/>
      <c r="Z1372" s="340"/>
      <c r="AE1372" s="340"/>
      <c r="AI1372" s="340"/>
      <c r="AN1372" s="340"/>
      <c r="AO1372" s="340"/>
      <c r="AS1372" s="340"/>
      <c r="AX1372" s="340"/>
      <c r="BB1372" s="340"/>
      <c r="BD1372" s="339"/>
    </row>
    <row r="1373" spans="7:56" s="338" customFormat="1">
      <c r="G1373" s="340"/>
      <c r="L1373" s="340"/>
      <c r="P1373" s="340"/>
      <c r="U1373" s="340"/>
      <c r="V1373" s="340"/>
      <c r="Z1373" s="340"/>
      <c r="AE1373" s="340"/>
      <c r="AI1373" s="340"/>
      <c r="AN1373" s="340"/>
      <c r="AO1373" s="340"/>
      <c r="AS1373" s="340"/>
      <c r="AX1373" s="340"/>
      <c r="BB1373" s="340"/>
      <c r="BD1373" s="339"/>
    </row>
    <row r="1374" spans="7:56" s="338" customFormat="1">
      <c r="G1374" s="340"/>
      <c r="L1374" s="340"/>
      <c r="P1374" s="340"/>
      <c r="U1374" s="340"/>
      <c r="V1374" s="340"/>
      <c r="Z1374" s="340"/>
      <c r="AE1374" s="340"/>
      <c r="AI1374" s="340"/>
      <c r="AN1374" s="340"/>
      <c r="AO1374" s="340"/>
      <c r="AS1374" s="340"/>
      <c r="AX1374" s="340"/>
      <c r="BB1374" s="340"/>
      <c r="BD1374" s="339"/>
    </row>
    <row r="1375" spans="7:56" s="338" customFormat="1">
      <c r="G1375" s="340"/>
      <c r="L1375" s="340"/>
      <c r="P1375" s="340"/>
      <c r="U1375" s="340"/>
      <c r="V1375" s="340"/>
      <c r="Z1375" s="340"/>
      <c r="AE1375" s="340"/>
      <c r="AI1375" s="340"/>
      <c r="AN1375" s="340"/>
      <c r="AO1375" s="340"/>
      <c r="AS1375" s="340"/>
      <c r="AX1375" s="340"/>
      <c r="BB1375" s="340"/>
      <c r="BD1375" s="339"/>
    </row>
    <row r="1376" spans="7:56" s="338" customFormat="1">
      <c r="G1376" s="340"/>
      <c r="L1376" s="340"/>
      <c r="P1376" s="340"/>
      <c r="U1376" s="340"/>
      <c r="V1376" s="340"/>
      <c r="Z1376" s="340"/>
      <c r="AE1376" s="340"/>
      <c r="AI1376" s="340"/>
      <c r="AN1376" s="340"/>
      <c r="AO1376" s="340"/>
      <c r="AS1376" s="340"/>
      <c r="AX1376" s="340"/>
      <c r="BB1376" s="340"/>
      <c r="BD1376" s="339"/>
    </row>
    <row r="1377" spans="7:56" s="338" customFormat="1">
      <c r="G1377" s="340"/>
      <c r="L1377" s="340"/>
      <c r="P1377" s="340"/>
      <c r="U1377" s="340"/>
      <c r="V1377" s="340"/>
      <c r="Z1377" s="340"/>
      <c r="AE1377" s="340"/>
      <c r="AI1377" s="340"/>
      <c r="AN1377" s="340"/>
      <c r="AO1377" s="340"/>
      <c r="AS1377" s="340"/>
      <c r="AX1377" s="340"/>
      <c r="BB1377" s="340"/>
      <c r="BD1377" s="339"/>
    </row>
    <row r="1378" spans="7:56" s="338" customFormat="1">
      <c r="G1378" s="340"/>
      <c r="L1378" s="340"/>
      <c r="P1378" s="340"/>
      <c r="U1378" s="340"/>
      <c r="V1378" s="340"/>
      <c r="Z1378" s="340"/>
      <c r="AE1378" s="340"/>
      <c r="AI1378" s="340"/>
      <c r="AN1378" s="340"/>
      <c r="AO1378" s="340"/>
      <c r="AS1378" s="340"/>
      <c r="AX1378" s="340"/>
      <c r="BB1378" s="340"/>
      <c r="BD1378" s="339"/>
    </row>
    <row r="1379" spans="7:56" s="338" customFormat="1">
      <c r="G1379" s="340"/>
      <c r="L1379" s="340"/>
      <c r="P1379" s="340"/>
      <c r="U1379" s="340"/>
      <c r="V1379" s="340"/>
      <c r="Z1379" s="340"/>
      <c r="AE1379" s="340"/>
      <c r="AI1379" s="340"/>
      <c r="AN1379" s="340"/>
      <c r="AO1379" s="340"/>
      <c r="AS1379" s="340"/>
      <c r="AX1379" s="340"/>
      <c r="BB1379" s="340"/>
      <c r="BD1379" s="339"/>
    </row>
    <row r="1380" spans="7:56" s="338" customFormat="1">
      <c r="G1380" s="340"/>
      <c r="L1380" s="340"/>
      <c r="P1380" s="340"/>
      <c r="U1380" s="340"/>
      <c r="V1380" s="340"/>
      <c r="Z1380" s="340"/>
      <c r="AE1380" s="340"/>
      <c r="AI1380" s="340"/>
      <c r="AN1380" s="340"/>
      <c r="AO1380" s="340"/>
      <c r="AS1380" s="340"/>
      <c r="AX1380" s="340"/>
      <c r="BB1380" s="340"/>
      <c r="BD1380" s="339"/>
    </row>
    <row r="1381" spans="7:56" s="338" customFormat="1">
      <c r="G1381" s="340"/>
      <c r="L1381" s="340"/>
      <c r="P1381" s="340"/>
      <c r="U1381" s="340"/>
      <c r="V1381" s="340"/>
      <c r="Z1381" s="340"/>
      <c r="AE1381" s="340"/>
      <c r="AI1381" s="340"/>
      <c r="AN1381" s="340"/>
      <c r="AO1381" s="340"/>
      <c r="AS1381" s="340"/>
      <c r="AX1381" s="340"/>
      <c r="BB1381" s="340"/>
      <c r="BD1381" s="339"/>
    </row>
    <row r="1382" spans="7:56" s="338" customFormat="1">
      <c r="G1382" s="340"/>
      <c r="L1382" s="340"/>
      <c r="P1382" s="340"/>
      <c r="U1382" s="340"/>
      <c r="V1382" s="340"/>
      <c r="Z1382" s="340"/>
      <c r="AE1382" s="340"/>
      <c r="AI1382" s="340"/>
      <c r="AN1382" s="340"/>
      <c r="AO1382" s="340"/>
      <c r="AS1382" s="340"/>
      <c r="AX1382" s="340"/>
      <c r="BB1382" s="340"/>
      <c r="BD1382" s="339"/>
    </row>
    <row r="1383" spans="7:56" s="338" customFormat="1">
      <c r="G1383" s="340"/>
      <c r="L1383" s="340"/>
      <c r="P1383" s="340"/>
      <c r="U1383" s="340"/>
      <c r="V1383" s="340"/>
      <c r="Z1383" s="340"/>
      <c r="AE1383" s="340"/>
      <c r="AI1383" s="340"/>
      <c r="AN1383" s="340"/>
      <c r="AO1383" s="340"/>
      <c r="AS1383" s="340"/>
      <c r="AX1383" s="340"/>
      <c r="BB1383" s="340"/>
      <c r="BD1383" s="339"/>
    </row>
    <row r="1384" spans="7:56" s="338" customFormat="1">
      <c r="G1384" s="340"/>
      <c r="L1384" s="340"/>
      <c r="P1384" s="340"/>
      <c r="U1384" s="340"/>
      <c r="V1384" s="340"/>
      <c r="Z1384" s="340"/>
      <c r="AE1384" s="340"/>
      <c r="AI1384" s="340"/>
      <c r="AN1384" s="340"/>
      <c r="AO1384" s="340"/>
      <c r="AS1384" s="340"/>
      <c r="AX1384" s="340"/>
      <c r="BB1384" s="340"/>
      <c r="BD1384" s="339"/>
    </row>
    <row r="1385" spans="7:56" s="338" customFormat="1">
      <c r="G1385" s="340"/>
      <c r="L1385" s="340"/>
      <c r="P1385" s="340"/>
      <c r="U1385" s="340"/>
      <c r="V1385" s="340"/>
      <c r="Z1385" s="340"/>
      <c r="AE1385" s="340"/>
      <c r="AI1385" s="340"/>
      <c r="AN1385" s="340"/>
      <c r="AO1385" s="340"/>
      <c r="AS1385" s="340"/>
      <c r="AX1385" s="340"/>
      <c r="BB1385" s="340"/>
      <c r="BD1385" s="339"/>
    </row>
    <row r="1386" spans="7:56" s="338" customFormat="1">
      <c r="G1386" s="340"/>
      <c r="L1386" s="340"/>
      <c r="P1386" s="340"/>
      <c r="U1386" s="340"/>
      <c r="V1386" s="340"/>
      <c r="Z1386" s="340"/>
      <c r="AE1386" s="340"/>
      <c r="AI1386" s="340"/>
      <c r="AN1386" s="340"/>
      <c r="AO1386" s="340"/>
      <c r="AS1386" s="340"/>
      <c r="AX1386" s="340"/>
      <c r="BB1386" s="340"/>
      <c r="BD1386" s="339"/>
    </row>
    <row r="1387" spans="7:56" s="338" customFormat="1">
      <c r="G1387" s="340"/>
      <c r="L1387" s="340"/>
      <c r="P1387" s="340"/>
      <c r="U1387" s="340"/>
      <c r="V1387" s="340"/>
      <c r="Z1387" s="340"/>
      <c r="AE1387" s="340"/>
      <c r="AI1387" s="340"/>
      <c r="AN1387" s="340"/>
      <c r="AO1387" s="340"/>
      <c r="AS1387" s="340"/>
      <c r="AX1387" s="340"/>
      <c r="BB1387" s="340"/>
      <c r="BD1387" s="339"/>
    </row>
    <row r="1388" spans="7:56" s="338" customFormat="1">
      <c r="G1388" s="340"/>
      <c r="L1388" s="340"/>
      <c r="P1388" s="340"/>
      <c r="U1388" s="340"/>
      <c r="V1388" s="340"/>
      <c r="Z1388" s="340"/>
      <c r="AE1388" s="340"/>
      <c r="AI1388" s="340"/>
      <c r="AN1388" s="340"/>
      <c r="AO1388" s="340"/>
      <c r="AS1388" s="340"/>
      <c r="AX1388" s="340"/>
      <c r="BB1388" s="340"/>
      <c r="BD1388" s="339"/>
    </row>
    <row r="1389" spans="7:56" s="338" customFormat="1">
      <c r="G1389" s="340"/>
      <c r="L1389" s="340"/>
      <c r="P1389" s="340"/>
      <c r="U1389" s="340"/>
      <c r="V1389" s="340"/>
      <c r="Z1389" s="340"/>
      <c r="AE1389" s="340"/>
      <c r="AI1389" s="340"/>
      <c r="AN1389" s="340"/>
      <c r="AO1389" s="340"/>
      <c r="AS1389" s="340"/>
      <c r="AX1389" s="340"/>
      <c r="BB1389" s="340"/>
      <c r="BD1389" s="339"/>
    </row>
    <row r="1390" spans="7:56" s="338" customFormat="1">
      <c r="G1390" s="340"/>
      <c r="L1390" s="340"/>
      <c r="P1390" s="340"/>
      <c r="U1390" s="340"/>
      <c r="V1390" s="340"/>
      <c r="Z1390" s="340"/>
      <c r="AE1390" s="340"/>
      <c r="AI1390" s="340"/>
      <c r="AN1390" s="340"/>
      <c r="AO1390" s="340"/>
      <c r="AS1390" s="340"/>
      <c r="AX1390" s="340"/>
      <c r="BB1390" s="340"/>
      <c r="BD1390" s="339"/>
    </row>
    <row r="1391" spans="7:56" s="338" customFormat="1">
      <c r="G1391" s="340"/>
      <c r="L1391" s="340"/>
      <c r="P1391" s="340"/>
      <c r="U1391" s="340"/>
      <c r="V1391" s="340"/>
      <c r="Z1391" s="340"/>
      <c r="AE1391" s="340"/>
      <c r="AI1391" s="340"/>
      <c r="AN1391" s="340"/>
      <c r="AO1391" s="340"/>
      <c r="AS1391" s="340"/>
      <c r="AX1391" s="340"/>
      <c r="BB1391" s="340"/>
      <c r="BD1391" s="339"/>
    </row>
    <row r="1392" spans="7:56" s="338" customFormat="1">
      <c r="G1392" s="340"/>
      <c r="L1392" s="340"/>
      <c r="P1392" s="340"/>
      <c r="U1392" s="340"/>
      <c r="V1392" s="340"/>
      <c r="Z1392" s="340"/>
      <c r="AE1392" s="340"/>
      <c r="AI1392" s="340"/>
      <c r="AN1392" s="340"/>
      <c r="AO1392" s="340"/>
      <c r="AS1392" s="340"/>
      <c r="AX1392" s="340"/>
      <c r="BB1392" s="340"/>
      <c r="BD1392" s="339"/>
    </row>
    <row r="1393" spans="7:56" s="338" customFormat="1">
      <c r="G1393" s="340"/>
      <c r="L1393" s="340"/>
      <c r="P1393" s="340"/>
      <c r="U1393" s="340"/>
      <c r="V1393" s="340"/>
      <c r="Z1393" s="340"/>
      <c r="AE1393" s="340"/>
      <c r="AI1393" s="340"/>
      <c r="AN1393" s="340"/>
      <c r="AO1393" s="340"/>
      <c r="AS1393" s="340"/>
      <c r="AX1393" s="340"/>
      <c r="BB1393" s="340"/>
      <c r="BD1393" s="339"/>
    </row>
    <row r="1394" spans="7:56" s="338" customFormat="1">
      <c r="G1394" s="340"/>
      <c r="L1394" s="340"/>
      <c r="P1394" s="340"/>
      <c r="U1394" s="340"/>
      <c r="V1394" s="340"/>
      <c r="Z1394" s="340"/>
      <c r="AE1394" s="340"/>
      <c r="AI1394" s="340"/>
      <c r="AN1394" s="340"/>
      <c r="AO1394" s="340"/>
      <c r="AS1394" s="340"/>
      <c r="AX1394" s="340"/>
      <c r="BB1394" s="340"/>
      <c r="BD1394" s="339"/>
    </row>
    <row r="1395" spans="7:56" s="338" customFormat="1">
      <c r="G1395" s="340"/>
      <c r="L1395" s="340"/>
      <c r="P1395" s="340"/>
      <c r="U1395" s="340"/>
      <c r="V1395" s="340"/>
      <c r="Z1395" s="340"/>
      <c r="AE1395" s="340"/>
      <c r="AI1395" s="340"/>
      <c r="AN1395" s="340"/>
      <c r="AO1395" s="340"/>
      <c r="AS1395" s="340"/>
      <c r="AX1395" s="340"/>
      <c r="BB1395" s="340"/>
      <c r="BD1395" s="339"/>
    </row>
    <row r="1396" spans="7:56" s="338" customFormat="1">
      <c r="G1396" s="340"/>
      <c r="L1396" s="340"/>
      <c r="P1396" s="340"/>
      <c r="U1396" s="340"/>
      <c r="V1396" s="340"/>
      <c r="Z1396" s="340"/>
      <c r="AE1396" s="340"/>
      <c r="AI1396" s="340"/>
      <c r="AN1396" s="340"/>
      <c r="AO1396" s="340"/>
      <c r="AS1396" s="340"/>
      <c r="AX1396" s="340"/>
      <c r="BB1396" s="340"/>
      <c r="BD1396" s="339"/>
    </row>
    <row r="1397" spans="7:56" s="338" customFormat="1">
      <c r="G1397" s="340"/>
      <c r="L1397" s="340"/>
      <c r="P1397" s="340"/>
      <c r="U1397" s="340"/>
      <c r="V1397" s="340"/>
      <c r="Z1397" s="340"/>
      <c r="AE1397" s="340"/>
      <c r="AI1397" s="340"/>
      <c r="AN1397" s="340"/>
      <c r="AO1397" s="340"/>
      <c r="AS1397" s="340"/>
      <c r="AX1397" s="340"/>
      <c r="BB1397" s="340"/>
      <c r="BD1397" s="339"/>
    </row>
    <row r="1398" spans="7:56" s="338" customFormat="1">
      <c r="G1398" s="340"/>
      <c r="L1398" s="340"/>
      <c r="P1398" s="340"/>
      <c r="U1398" s="340"/>
      <c r="V1398" s="340"/>
      <c r="Z1398" s="340"/>
      <c r="AE1398" s="340"/>
      <c r="AI1398" s="340"/>
      <c r="AN1398" s="340"/>
      <c r="AO1398" s="340"/>
      <c r="AS1398" s="340"/>
      <c r="AX1398" s="340"/>
      <c r="BB1398" s="340"/>
      <c r="BD1398" s="339"/>
    </row>
    <row r="1399" spans="7:56" s="338" customFormat="1">
      <c r="G1399" s="340"/>
      <c r="L1399" s="340"/>
      <c r="P1399" s="340"/>
      <c r="U1399" s="340"/>
      <c r="V1399" s="340"/>
      <c r="Z1399" s="340"/>
      <c r="AE1399" s="340"/>
      <c r="AI1399" s="340"/>
      <c r="AN1399" s="340"/>
      <c r="AO1399" s="340"/>
      <c r="AS1399" s="340"/>
      <c r="AX1399" s="340"/>
      <c r="BB1399" s="340"/>
      <c r="BD1399" s="339"/>
    </row>
    <row r="1400" spans="7:56" s="338" customFormat="1">
      <c r="G1400" s="340"/>
      <c r="L1400" s="340"/>
      <c r="P1400" s="340"/>
      <c r="U1400" s="340"/>
      <c r="V1400" s="340"/>
      <c r="Z1400" s="340"/>
      <c r="AE1400" s="340"/>
      <c r="AI1400" s="340"/>
      <c r="AN1400" s="340"/>
      <c r="AO1400" s="340"/>
      <c r="AS1400" s="340"/>
      <c r="AX1400" s="340"/>
      <c r="BB1400" s="340"/>
      <c r="BD1400" s="339"/>
    </row>
    <row r="1401" spans="7:56" s="338" customFormat="1">
      <c r="G1401" s="340"/>
      <c r="L1401" s="340"/>
      <c r="P1401" s="340"/>
      <c r="U1401" s="340"/>
      <c r="V1401" s="340"/>
      <c r="Z1401" s="340"/>
      <c r="AE1401" s="340"/>
      <c r="AI1401" s="340"/>
      <c r="AN1401" s="340"/>
      <c r="AO1401" s="340"/>
      <c r="AS1401" s="340"/>
      <c r="AX1401" s="340"/>
      <c r="BB1401" s="340"/>
      <c r="BD1401" s="339"/>
    </row>
    <row r="1402" spans="7:56" s="338" customFormat="1">
      <c r="G1402" s="340"/>
      <c r="L1402" s="340"/>
      <c r="P1402" s="340"/>
      <c r="U1402" s="340"/>
      <c r="V1402" s="340"/>
      <c r="Z1402" s="340"/>
      <c r="AE1402" s="340"/>
      <c r="AI1402" s="340"/>
      <c r="AN1402" s="340"/>
      <c r="AO1402" s="340"/>
      <c r="AS1402" s="340"/>
      <c r="AX1402" s="340"/>
      <c r="BB1402" s="340"/>
      <c r="BD1402" s="339"/>
    </row>
    <row r="1403" spans="7:56" s="338" customFormat="1">
      <c r="G1403" s="340"/>
      <c r="L1403" s="340"/>
      <c r="P1403" s="340"/>
      <c r="U1403" s="340"/>
      <c r="V1403" s="340"/>
      <c r="Z1403" s="340"/>
      <c r="AE1403" s="340"/>
      <c r="AI1403" s="340"/>
      <c r="AN1403" s="340"/>
      <c r="AO1403" s="340"/>
      <c r="AS1403" s="340"/>
      <c r="AX1403" s="340"/>
      <c r="BB1403" s="340"/>
      <c r="BD1403" s="339"/>
    </row>
    <row r="1404" spans="7:56" s="338" customFormat="1">
      <c r="G1404" s="340"/>
      <c r="L1404" s="340"/>
      <c r="P1404" s="340"/>
      <c r="U1404" s="340"/>
      <c r="V1404" s="340"/>
      <c r="Z1404" s="340"/>
      <c r="AE1404" s="340"/>
      <c r="AI1404" s="340"/>
      <c r="AN1404" s="340"/>
      <c r="AO1404" s="340"/>
      <c r="AS1404" s="340"/>
      <c r="AX1404" s="340"/>
      <c r="BB1404" s="340"/>
      <c r="BD1404" s="339"/>
    </row>
    <row r="1405" spans="7:56" s="338" customFormat="1">
      <c r="G1405" s="340"/>
      <c r="L1405" s="340"/>
      <c r="P1405" s="340"/>
      <c r="U1405" s="340"/>
      <c r="V1405" s="340"/>
      <c r="Z1405" s="340"/>
      <c r="AE1405" s="340"/>
      <c r="AI1405" s="340"/>
      <c r="AN1405" s="340"/>
      <c r="AO1405" s="340"/>
      <c r="AS1405" s="340"/>
      <c r="AX1405" s="340"/>
      <c r="BB1405" s="340"/>
      <c r="BD1405" s="339"/>
    </row>
    <row r="1406" spans="7:56" s="338" customFormat="1">
      <c r="G1406" s="340"/>
      <c r="L1406" s="340"/>
      <c r="P1406" s="340"/>
      <c r="U1406" s="340"/>
      <c r="V1406" s="340"/>
      <c r="Z1406" s="340"/>
      <c r="AE1406" s="340"/>
      <c r="AI1406" s="340"/>
      <c r="AN1406" s="340"/>
      <c r="AO1406" s="340"/>
      <c r="AS1406" s="340"/>
      <c r="AX1406" s="340"/>
      <c r="BB1406" s="340"/>
      <c r="BD1406" s="339"/>
    </row>
    <row r="1407" spans="7:56" s="338" customFormat="1">
      <c r="G1407" s="340"/>
      <c r="L1407" s="340"/>
      <c r="P1407" s="340"/>
      <c r="U1407" s="340"/>
      <c r="V1407" s="340"/>
      <c r="Z1407" s="340"/>
      <c r="AE1407" s="340"/>
      <c r="AI1407" s="340"/>
      <c r="AN1407" s="340"/>
      <c r="AO1407" s="340"/>
      <c r="AS1407" s="340"/>
      <c r="AX1407" s="340"/>
      <c r="BB1407" s="340"/>
      <c r="BD1407" s="339"/>
    </row>
    <row r="1408" spans="7:56" s="338" customFormat="1">
      <c r="G1408" s="340"/>
      <c r="L1408" s="340"/>
      <c r="P1408" s="340"/>
      <c r="U1408" s="340"/>
      <c r="V1408" s="340"/>
      <c r="Z1408" s="340"/>
      <c r="AE1408" s="340"/>
      <c r="AI1408" s="340"/>
      <c r="AN1408" s="340"/>
      <c r="AO1408" s="340"/>
      <c r="AS1408" s="340"/>
      <c r="AX1408" s="340"/>
      <c r="BB1408" s="340"/>
      <c r="BD1408" s="339"/>
    </row>
    <row r="1409" spans="7:56" s="338" customFormat="1">
      <c r="G1409" s="340"/>
      <c r="L1409" s="340"/>
      <c r="P1409" s="340"/>
      <c r="U1409" s="340"/>
      <c r="V1409" s="340"/>
      <c r="Z1409" s="340"/>
      <c r="AE1409" s="340"/>
      <c r="AI1409" s="340"/>
      <c r="AN1409" s="340"/>
      <c r="AO1409" s="340"/>
      <c r="AS1409" s="340"/>
      <c r="AX1409" s="340"/>
      <c r="BB1409" s="340"/>
      <c r="BD1409" s="339"/>
    </row>
    <row r="1410" spans="7:56" s="338" customFormat="1">
      <c r="G1410" s="340"/>
      <c r="L1410" s="340"/>
      <c r="P1410" s="340"/>
      <c r="U1410" s="340"/>
      <c r="V1410" s="340"/>
      <c r="Z1410" s="340"/>
      <c r="AE1410" s="340"/>
      <c r="AI1410" s="340"/>
      <c r="AN1410" s="340"/>
      <c r="AO1410" s="340"/>
      <c r="AS1410" s="340"/>
      <c r="AX1410" s="340"/>
      <c r="BB1410" s="340"/>
      <c r="BD1410" s="339"/>
    </row>
    <row r="1411" spans="7:56" s="338" customFormat="1">
      <c r="G1411" s="340"/>
      <c r="L1411" s="340"/>
      <c r="P1411" s="340"/>
      <c r="U1411" s="340"/>
      <c r="V1411" s="340"/>
      <c r="Z1411" s="340"/>
      <c r="AE1411" s="340"/>
      <c r="AI1411" s="340"/>
      <c r="AN1411" s="340"/>
      <c r="AO1411" s="340"/>
      <c r="AS1411" s="340"/>
      <c r="AX1411" s="340"/>
      <c r="BB1411" s="340"/>
      <c r="BD1411" s="339"/>
    </row>
    <row r="1412" spans="7:56" s="338" customFormat="1">
      <c r="G1412" s="340"/>
      <c r="L1412" s="340"/>
      <c r="P1412" s="340"/>
      <c r="U1412" s="340"/>
      <c r="V1412" s="340"/>
      <c r="Z1412" s="340"/>
      <c r="AE1412" s="340"/>
      <c r="AI1412" s="340"/>
      <c r="AN1412" s="340"/>
      <c r="AO1412" s="340"/>
      <c r="AS1412" s="340"/>
      <c r="AX1412" s="340"/>
      <c r="BB1412" s="340"/>
      <c r="BD1412" s="339"/>
    </row>
    <row r="1413" spans="7:56" s="338" customFormat="1">
      <c r="G1413" s="340"/>
      <c r="L1413" s="340"/>
      <c r="P1413" s="340"/>
      <c r="U1413" s="340"/>
      <c r="V1413" s="340"/>
      <c r="Z1413" s="340"/>
      <c r="AE1413" s="340"/>
      <c r="AI1413" s="340"/>
      <c r="AN1413" s="340"/>
      <c r="AO1413" s="340"/>
      <c r="AS1413" s="340"/>
      <c r="AX1413" s="340"/>
      <c r="BB1413" s="340"/>
      <c r="BD1413" s="339"/>
    </row>
    <row r="1414" spans="7:56" s="338" customFormat="1">
      <c r="G1414" s="340"/>
      <c r="L1414" s="340"/>
      <c r="P1414" s="340"/>
      <c r="U1414" s="340"/>
      <c r="V1414" s="340"/>
      <c r="Z1414" s="340"/>
      <c r="AE1414" s="340"/>
      <c r="AI1414" s="340"/>
      <c r="AN1414" s="340"/>
      <c r="AO1414" s="340"/>
      <c r="AS1414" s="340"/>
      <c r="AX1414" s="340"/>
      <c r="BB1414" s="340"/>
      <c r="BD1414" s="339"/>
    </row>
    <row r="1415" spans="7:56" s="338" customFormat="1">
      <c r="G1415" s="340"/>
      <c r="L1415" s="340"/>
      <c r="P1415" s="340"/>
      <c r="U1415" s="340"/>
      <c r="V1415" s="340"/>
      <c r="Z1415" s="340"/>
      <c r="AE1415" s="340"/>
      <c r="AI1415" s="340"/>
      <c r="AN1415" s="340"/>
      <c r="AO1415" s="340"/>
      <c r="AS1415" s="340"/>
      <c r="AX1415" s="340"/>
      <c r="BB1415" s="340"/>
      <c r="BD1415" s="339"/>
    </row>
    <row r="1416" spans="7:56" s="338" customFormat="1">
      <c r="G1416" s="340"/>
      <c r="L1416" s="340"/>
      <c r="P1416" s="340"/>
      <c r="U1416" s="340"/>
      <c r="V1416" s="340"/>
      <c r="Z1416" s="340"/>
      <c r="AE1416" s="340"/>
      <c r="AI1416" s="340"/>
      <c r="AN1416" s="340"/>
      <c r="AO1416" s="340"/>
      <c r="AS1416" s="340"/>
      <c r="AX1416" s="340"/>
      <c r="BB1416" s="340"/>
      <c r="BD1416" s="339"/>
    </row>
    <row r="1417" spans="7:56" s="338" customFormat="1">
      <c r="G1417" s="340"/>
      <c r="L1417" s="340"/>
      <c r="P1417" s="340"/>
      <c r="U1417" s="340"/>
      <c r="V1417" s="340"/>
      <c r="Z1417" s="340"/>
      <c r="AE1417" s="340"/>
      <c r="AI1417" s="340"/>
      <c r="AN1417" s="340"/>
      <c r="AO1417" s="340"/>
      <c r="AS1417" s="340"/>
      <c r="AX1417" s="340"/>
      <c r="BB1417" s="340"/>
      <c r="BD1417" s="339"/>
    </row>
    <row r="1418" spans="7:56" s="338" customFormat="1">
      <c r="G1418" s="340"/>
      <c r="L1418" s="340"/>
      <c r="P1418" s="340"/>
      <c r="U1418" s="340"/>
      <c r="V1418" s="340"/>
      <c r="Z1418" s="340"/>
      <c r="AE1418" s="340"/>
      <c r="AI1418" s="340"/>
      <c r="AN1418" s="340"/>
      <c r="AO1418" s="340"/>
      <c r="AS1418" s="340"/>
      <c r="AX1418" s="340"/>
      <c r="BB1418" s="340"/>
      <c r="BD1418" s="339"/>
    </row>
    <row r="1419" spans="7:56" s="338" customFormat="1">
      <c r="G1419" s="340"/>
      <c r="L1419" s="340"/>
      <c r="P1419" s="340"/>
      <c r="U1419" s="340"/>
      <c r="V1419" s="340"/>
      <c r="Z1419" s="340"/>
      <c r="AE1419" s="340"/>
      <c r="AI1419" s="340"/>
      <c r="AN1419" s="340"/>
      <c r="AO1419" s="340"/>
      <c r="AS1419" s="340"/>
      <c r="AX1419" s="340"/>
      <c r="BB1419" s="340"/>
      <c r="BD1419" s="339"/>
    </row>
    <row r="1420" spans="7:56" s="338" customFormat="1">
      <c r="G1420" s="340"/>
      <c r="L1420" s="340"/>
      <c r="P1420" s="340"/>
      <c r="U1420" s="340"/>
      <c r="V1420" s="340"/>
      <c r="Z1420" s="340"/>
      <c r="AE1420" s="340"/>
      <c r="AI1420" s="340"/>
      <c r="AN1420" s="340"/>
      <c r="AO1420" s="340"/>
      <c r="AS1420" s="340"/>
      <c r="AX1420" s="340"/>
      <c r="BB1420" s="340"/>
      <c r="BD1420" s="339"/>
    </row>
    <row r="1421" spans="7:56" s="338" customFormat="1">
      <c r="G1421" s="340"/>
      <c r="L1421" s="340"/>
      <c r="P1421" s="340"/>
      <c r="U1421" s="340"/>
      <c r="V1421" s="340"/>
      <c r="Z1421" s="340"/>
      <c r="AE1421" s="340"/>
      <c r="AI1421" s="340"/>
      <c r="AN1421" s="340"/>
      <c r="AO1421" s="340"/>
      <c r="AS1421" s="340"/>
      <c r="AX1421" s="340"/>
      <c r="BB1421" s="340"/>
      <c r="BD1421" s="339"/>
    </row>
    <row r="1422" spans="7:56" s="338" customFormat="1">
      <c r="G1422" s="340"/>
      <c r="L1422" s="340"/>
      <c r="P1422" s="340"/>
      <c r="U1422" s="340"/>
      <c r="V1422" s="340"/>
      <c r="Z1422" s="340"/>
      <c r="AE1422" s="340"/>
      <c r="AI1422" s="340"/>
      <c r="AN1422" s="340"/>
      <c r="AO1422" s="340"/>
      <c r="AS1422" s="340"/>
      <c r="AX1422" s="340"/>
      <c r="BB1422" s="340"/>
      <c r="BD1422" s="339"/>
    </row>
    <row r="1423" spans="7:56" s="338" customFormat="1">
      <c r="G1423" s="340"/>
      <c r="L1423" s="340"/>
      <c r="P1423" s="340"/>
      <c r="U1423" s="340"/>
      <c r="V1423" s="340"/>
      <c r="Z1423" s="340"/>
      <c r="AE1423" s="340"/>
      <c r="AI1423" s="340"/>
      <c r="AN1423" s="340"/>
      <c r="AO1423" s="340"/>
      <c r="AS1423" s="340"/>
      <c r="AX1423" s="340"/>
      <c r="BB1423" s="340"/>
      <c r="BD1423" s="339"/>
    </row>
    <row r="1424" spans="7:56" s="338" customFormat="1">
      <c r="G1424" s="340"/>
      <c r="L1424" s="340"/>
      <c r="P1424" s="340"/>
      <c r="U1424" s="340"/>
      <c r="V1424" s="340"/>
      <c r="Z1424" s="340"/>
      <c r="AE1424" s="340"/>
      <c r="AI1424" s="340"/>
      <c r="AN1424" s="340"/>
      <c r="AO1424" s="340"/>
      <c r="AS1424" s="340"/>
      <c r="AX1424" s="340"/>
      <c r="BB1424" s="340"/>
      <c r="BD1424" s="339"/>
    </row>
    <row r="1425" spans="7:56" s="338" customFormat="1">
      <c r="G1425" s="340"/>
      <c r="L1425" s="340"/>
      <c r="P1425" s="340"/>
      <c r="U1425" s="340"/>
      <c r="V1425" s="340"/>
      <c r="Z1425" s="340"/>
      <c r="AE1425" s="340"/>
      <c r="AI1425" s="340"/>
      <c r="AN1425" s="340"/>
      <c r="AO1425" s="340"/>
      <c r="AS1425" s="340"/>
      <c r="AX1425" s="340"/>
      <c r="BB1425" s="340"/>
      <c r="BD1425" s="339"/>
    </row>
    <row r="1426" spans="7:56" s="338" customFormat="1">
      <c r="G1426" s="340"/>
      <c r="L1426" s="340"/>
      <c r="P1426" s="340"/>
      <c r="U1426" s="340"/>
      <c r="V1426" s="340"/>
      <c r="Z1426" s="340"/>
      <c r="AE1426" s="340"/>
      <c r="AI1426" s="340"/>
      <c r="AN1426" s="340"/>
      <c r="AO1426" s="340"/>
      <c r="AS1426" s="340"/>
      <c r="AX1426" s="340"/>
      <c r="BB1426" s="340"/>
      <c r="BD1426" s="339"/>
    </row>
    <row r="1427" spans="7:56" s="338" customFormat="1">
      <c r="G1427" s="340"/>
      <c r="L1427" s="340"/>
      <c r="P1427" s="340"/>
      <c r="U1427" s="340"/>
      <c r="V1427" s="340"/>
      <c r="Z1427" s="340"/>
      <c r="AE1427" s="340"/>
      <c r="AI1427" s="340"/>
      <c r="AN1427" s="340"/>
      <c r="AO1427" s="340"/>
      <c r="AS1427" s="340"/>
      <c r="AX1427" s="340"/>
      <c r="BB1427" s="340"/>
      <c r="BD1427" s="339"/>
    </row>
    <row r="1428" spans="7:56" s="338" customFormat="1">
      <c r="G1428" s="340"/>
      <c r="L1428" s="340"/>
      <c r="P1428" s="340"/>
      <c r="U1428" s="340"/>
      <c r="V1428" s="340"/>
      <c r="Z1428" s="340"/>
      <c r="AE1428" s="340"/>
      <c r="AI1428" s="340"/>
      <c r="AN1428" s="340"/>
      <c r="AO1428" s="340"/>
      <c r="AS1428" s="340"/>
      <c r="AX1428" s="340"/>
      <c r="BB1428" s="340"/>
      <c r="BD1428" s="339"/>
    </row>
    <row r="1429" spans="7:56" s="338" customFormat="1">
      <c r="G1429" s="340"/>
      <c r="L1429" s="340"/>
      <c r="P1429" s="340"/>
      <c r="U1429" s="340"/>
      <c r="V1429" s="340"/>
      <c r="Z1429" s="340"/>
      <c r="AE1429" s="340"/>
      <c r="AI1429" s="340"/>
      <c r="AN1429" s="340"/>
      <c r="AO1429" s="340"/>
      <c r="AS1429" s="340"/>
      <c r="AX1429" s="340"/>
      <c r="BB1429" s="340"/>
      <c r="BD1429" s="339"/>
    </row>
    <row r="1430" spans="7:56" s="338" customFormat="1">
      <c r="G1430" s="340"/>
      <c r="L1430" s="340"/>
      <c r="P1430" s="340"/>
      <c r="U1430" s="340"/>
      <c r="V1430" s="340"/>
      <c r="Z1430" s="340"/>
      <c r="AE1430" s="340"/>
      <c r="AI1430" s="340"/>
      <c r="AN1430" s="340"/>
      <c r="AO1430" s="340"/>
      <c r="AS1430" s="340"/>
      <c r="AX1430" s="340"/>
      <c r="BB1430" s="340"/>
      <c r="BD1430" s="339"/>
    </row>
    <row r="1431" spans="7:56" s="338" customFormat="1">
      <c r="G1431" s="340"/>
      <c r="L1431" s="340"/>
      <c r="P1431" s="340"/>
      <c r="U1431" s="340"/>
      <c r="V1431" s="340"/>
      <c r="Z1431" s="340"/>
      <c r="AE1431" s="340"/>
      <c r="AI1431" s="340"/>
      <c r="AN1431" s="340"/>
      <c r="AO1431" s="340"/>
      <c r="AS1431" s="340"/>
      <c r="AX1431" s="340"/>
      <c r="BB1431" s="340"/>
      <c r="BD1431" s="339"/>
    </row>
    <row r="1432" spans="7:56" s="338" customFormat="1">
      <c r="G1432" s="340"/>
      <c r="L1432" s="340"/>
      <c r="P1432" s="340"/>
      <c r="U1432" s="340"/>
      <c r="V1432" s="340"/>
      <c r="Z1432" s="340"/>
      <c r="AE1432" s="340"/>
      <c r="AI1432" s="340"/>
      <c r="AN1432" s="340"/>
      <c r="AO1432" s="340"/>
      <c r="AS1432" s="340"/>
      <c r="AX1432" s="340"/>
      <c r="BB1432" s="340"/>
      <c r="BD1432" s="339"/>
    </row>
    <row r="1433" spans="7:56" s="338" customFormat="1">
      <c r="G1433" s="340"/>
      <c r="L1433" s="340"/>
      <c r="P1433" s="340"/>
      <c r="U1433" s="340"/>
      <c r="V1433" s="340"/>
      <c r="Z1433" s="340"/>
      <c r="AE1433" s="340"/>
      <c r="AI1433" s="340"/>
      <c r="AN1433" s="340"/>
      <c r="AO1433" s="340"/>
      <c r="AS1433" s="340"/>
      <c r="AX1433" s="340"/>
      <c r="BB1433" s="340"/>
      <c r="BD1433" s="339"/>
    </row>
    <row r="1434" spans="7:56" s="338" customFormat="1">
      <c r="G1434" s="340"/>
      <c r="L1434" s="340"/>
      <c r="P1434" s="340"/>
      <c r="U1434" s="340"/>
      <c r="V1434" s="340"/>
      <c r="Z1434" s="340"/>
      <c r="AE1434" s="340"/>
      <c r="AI1434" s="340"/>
      <c r="AN1434" s="340"/>
      <c r="AO1434" s="340"/>
      <c r="AS1434" s="340"/>
      <c r="AX1434" s="340"/>
      <c r="BB1434" s="340"/>
      <c r="BD1434" s="339"/>
    </row>
    <row r="1435" spans="7:56" s="338" customFormat="1">
      <c r="G1435" s="340"/>
      <c r="L1435" s="340"/>
      <c r="P1435" s="340"/>
      <c r="U1435" s="340"/>
      <c r="V1435" s="340"/>
      <c r="Z1435" s="340"/>
      <c r="AE1435" s="340"/>
      <c r="AI1435" s="340"/>
      <c r="AN1435" s="340"/>
      <c r="AO1435" s="340"/>
      <c r="AS1435" s="340"/>
      <c r="AX1435" s="340"/>
      <c r="BB1435" s="340"/>
      <c r="BD1435" s="339"/>
    </row>
    <row r="1436" spans="7:56" s="338" customFormat="1">
      <c r="G1436" s="340"/>
      <c r="L1436" s="340"/>
      <c r="P1436" s="340"/>
      <c r="U1436" s="340"/>
      <c r="V1436" s="340"/>
      <c r="Z1436" s="340"/>
      <c r="AE1436" s="340"/>
      <c r="AI1436" s="340"/>
      <c r="AN1436" s="340"/>
      <c r="AO1436" s="340"/>
      <c r="AS1436" s="340"/>
      <c r="AX1436" s="340"/>
      <c r="BB1436" s="340"/>
      <c r="BD1436" s="339"/>
    </row>
    <row r="1437" spans="7:56" s="338" customFormat="1">
      <c r="G1437" s="340"/>
      <c r="L1437" s="340"/>
      <c r="P1437" s="340"/>
      <c r="U1437" s="340"/>
      <c r="V1437" s="340"/>
      <c r="Z1437" s="340"/>
      <c r="AE1437" s="340"/>
      <c r="AI1437" s="340"/>
      <c r="AN1437" s="340"/>
      <c r="AO1437" s="340"/>
      <c r="AS1437" s="340"/>
      <c r="AX1437" s="340"/>
      <c r="BB1437" s="340"/>
      <c r="BD1437" s="339"/>
    </row>
    <row r="1438" spans="7:56" s="338" customFormat="1">
      <c r="G1438" s="340"/>
      <c r="L1438" s="340"/>
      <c r="P1438" s="340"/>
      <c r="U1438" s="340"/>
      <c r="V1438" s="340"/>
      <c r="Z1438" s="340"/>
      <c r="AE1438" s="340"/>
      <c r="AI1438" s="340"/>
      <c r="AN1438" s="340"/>
      <c r="AO1438" s="340"/>
      <c r="AS1438" s="340"/>
      <c r="AX1438" s="340"/>
      <c r="BB1438" s="340"/>
      <c r="BD1438" s="339"/>
    </row>
    <row r="1439" spans="7:56" s="338" customFormat="1">
      <c r="G1439" s="340"/>
      <c r="L1439" s="340"/>
      <c r="P1439" s="340"/>
      <c r="U1439" s="340"/>
      <c r="V1439" s="340"/>
      <c r="Z1439" s="340"/>
      <c r="AE1439" s="340"/>
      <c r="AI1439" s="340"/>
      <c r="AN1439" s="340"/>
      <c r="AO1439" s="340"/>
      <c r="AS1439" s="340"/>
      <c r="AX1439" s="340"/>
      <c r="BB1439" s="340"/>
      <c r="BD1439" s="339"/>
    </row>
    <row r="1440" spans="7:56" s="338" customFormat="1">
      <c r="G1440" s="340"/>
      <c r="L1440" s="340"/>
      <c r="P1440" s="340"/>
      <c r="U1440" s="340"/>
      <c r="V1440" s="340"/>
      <c r="Z1440" s="340"/>
      <c r="AE1440" s="340"/>
      <c r="AI1440" s="340"/>
      <c r="AN1440" s="340"/>
      <c r="AO1440" s="340"/>
      <c r="AS1440" s="340"/>
      <c r="AX1440" s="340"/>
      <c r="BB1440" s="340"/>
      <c r="BD1440" s="339"/>
    </row>
    <row r="1441" spans="7:56" s="338" customFormat="1">
      <c r="G1441" s="340"/>
      <c r="L1441" s="340"/>
      <c r="P1441" s="340"/>
      <c r="U1441" s="340"/>
      <c r="V1441" s="340"/>
      <c r="Z1441" s="340"/>
      <c r="AE1441" s="340"/>
      <c r="AI1441" s="340"/>
      <c r="AN1441" s="340"/>
      <c r="AO1441" s="340"/>
      <c r="AS1441" s="340"/>
      <c r="AX1441" s="340"/>
      <c r="BB1441" s="340"/>
      <c r="BD1441" s="339"/>
    </row>
    <row r="1442" spans="7:56" s="338" customFormat="1">
      <c r="G1442" s="340"/>
      <c r="L1442" s="340"/>
      <c r="P1442" s="340"/>
      <c r="U1442" s="340"/>
      <c r="V1442" s="340"/>
      <c r="Z1442" s="340"/>
      <c r="AE1442" s="340"/>
      <c r="AI1442" s="340"/>
      <c r="AN1442" s="340"/>
      <c r="AO1442" s="340"/>
      <c r="AS1442" s="340"/>
      <c r="AX1442" s="340"/>
      <c r="BB1442" s="340"/>
      <c r="BD1442" s="339"/>
    </row>
    <row r="1443" spans="7:56" s="338" customFormat="1">
      <c r="G1443" s="340"/>
      <c r="L1443" s="340"/>
      <c r="P1443" s="340"/>
      <c r="U1443" s="340"/>
      <c r="V1443" s="340"/>
      <c r="Z1443" s="340"/>
      <c r="AE1443" s="340"/>
      <c r="AI1443" s="340"/>
      <c r="AN1443" s="340"/>
      <c r="AO1443" s="340"/>
      <c r="AS1443" s="340"/>
      <c r="AX1443" s="340"/>
      <c r="BB1443" s="340"/>
      <c r="BD1443" s="339"/>
    </row>
    <row r="1444" spans="7:56" s="338" customFormat="1">
      <c r="G1444" s="340"/>
      <c r="L1444" s="340"/>
      <c r="P1444" s="340"/>
      <c r="U1444" s="340"/>
      <c r="V1444" s="340"/>
      <c r="Z1444" s="340"/>
      <c r="AE1444" s="340"/>
      <c r="AI1444" s="340"/>
      <c r="AN1444" s="340"/>
      <c r="AO1444" s="340"/>
      <c r="AS1444" s="340"/>
      <c r="AX1444" s="340"/>
      <c r="BB1444" s="340"/>
      <c r="BD1444" s="339"/>
    </row>
    <row r="1445" spans="7:56" s="338" customFormat="1">
      <c r="G1445" s="340"/>
      <c r="L1445" s="340"/>
      <c r="P1445" s="340"/>
      <c r="U1445" s="340"/>
      <c r="V1445" s="340"/>
      <c r="Z1445" s="340"/>
      <c r="AE1445" s="340"/>
      <c r="AI1445" s="340"/>
      <c r="AN1445" s="340"/>
      <c r="AO1445" s="340"/>
      <c r="AS1445" s="340"/>
      <c r="AX1445" s="340"/>
      <c r="BB1445" s="340"/>
      <c r="BD1445" s="339"/>
    </row>
    <row r="1446" spans="7:56" s="338" customFormat="1">
      <c r="G1446" s="340"/>
      <c r="L1446" s="340"/>
      <c r="P1446" s="340"/>
      <c r="U1446" s="340"/>
      <c r="V1446" s="340"/>
      <c r="Z1446" s="340"/>
      <c r="AE1446" s="340"/>
      <c r="AI1446" s="340"/>
      <c r="AN1446" s="340"/>
      <c r="AO1446" s="340"/>
      <c r="AS1446" s="340"/>
      <c r="AX1446" s="340"/>
      <c r="BB1446" s="340"/>
      <c r="BD1446" s="339"/>
    </row>
    <row r="1447" spans="7:56" s="338" customFormat="1">
      <c r="G1447" s="340"/>
      <c r="L1447" s="340"/>
      <c r="P1447" s="340"/>
      <c r="U1447" s="340"/>
      <c r="V1447" s="340"/>
      <c r="Z1447" s="340"/>
      <c r="AE1447" s="340"/>
      <c r="AI1447" s="340"/>
      <c r="AN1447" s="340"/>
      <c r="AO1447" s="340"/>
      <c r="AS1447" s="340"/>
      <c r="AX1447" s="340"/>
      <c r="BB1447" s="340"/>
      <c r="BD1447" s="339"/>
    </row>
    <row r="1448" spans="7:56" s="338" customFormat="1">
      <c r="G1448" s="340"/>
      <c r="L1448" s="340"/>
      <c r="P1448" s="340"/>
      <c r="U1448" s="340"/>
      <c r="V1448" s="340"/>
      <c r="Z1448" s="340"/>
      <c r="AE1448" s="340"/>
      <c r="AI1448" s="340"/>
      <c r="AN1448" s="340"/>
      <c r="AO1448" s="340"/>
      <c r="AS1448" s="340"/>
      <c r="AX1448" s="340"/>
      <c r="BB1448" s="340"/>
      <c r="BD1448" s="339"/>
    </row>
    <row r="1449" spans="7:56" s="338" customFormat="1">
      <c r="G1449" s="340"/>
      <c r="L1449" s="340"/>
      <c r="P1449" s="340"/>
      <c r="U1449" s="340"/>
      <c r="V1449" s="340"/>
      <c r="Z1449" s="340"/>
      <c r="AE1449" s="340"/>
      <c r="AI1449" s="340"/>
      <c r="AN1449" s="340"/>
      <c r="AO1449" s="340"/>
      <c r="AS1449" s="340"/>
      <c r="AX1449" s="340"/>
      <c r="BB1449" s="340"/>
      <c r="BD1449" s="339"/>
    </row>
    <row r="1450" spans="7:56" s="338" customFormat="1">
      <c r="G1450" s="340"/>
      <c r="L1450" s="340"/>
      <c r="P1450" s="340"/>
      <c r="U1450" s="340"/>
      <c r="V1450" s="340"/>
      <c r="Z1450" s="340"/>
      <c r="AE1450" s="340"/>
      <c r="AI1450" s="340"/>
      <c r="AN1450" s="340"/>
      <c r="AO1450" s="340"/>
      <c r="AS1450" s="340"/>
      <c r="AX1450" s="340"/>
      <c r="BB1450" s="340"/>
      <c r="BD1450" s="339"/>
    </row>
    <row r="1451" spans="7:56" s="338" customFormat="1">
      <c r="G1451" s="340"/>
      <c r="L1451" s="340"/>
      <c r="P1451" s="340"/>
      <c r="U1451" s="340"/>
      <c r="V1451" s="340"/>
      <c r="Z1451" s="340"/>
      <c r="AE1451" s="340"/>
      <c r="AI1451" s="340"/>
      <c r="AN1451" s="340"/>
      <c r="AO1451" s="340"/>
      <c r="AS1451" s="340"/>
      <c r="AX1451" s="340"/>
      <c r="BB1451" s="340"/>
      <c r="BD1451" s="339"/>
    </row>
    <row r="1452" spans="7:56" s="338" customFormat="1">
      <c r="G1452" s="340"/>
      <c r="L1452" s="340"/>
      <c r="P1452" s="340"/>
      <c r="U1452" s="340"/>
      <c r="V1452" s="340"/>
      <c r="Z1452" s="340"/>
      <c r="AE1452" s="340"/>
      <c r="AI1452" s="340"/>
      <c r="AN1452" s="340"/>
      <c r="AO1452" s="340"/>
      <c r="AS1452" s="340"/>
      <c r="AX1452" s="340"/>
      <c r="BB1452" s="340"/>
      <c r="BD1452" s="339"/>
    </row>
    <row r="1453" spans="7:56" s="338" customFormat="1">
      <c r="G1453" s="340"/>
      <c r="L1453" s="340"/>
      <c r="P1453" s="340"/>
      <c r="U1453" s="340"/>
      <c r="V1453" s="340"/>
      <c r="Z1453" s="340"/>
      <c r="AE1453" s="340"/>
      <c r="AI1453" s="340"/>
      <c r="AN1453" s="340"/>
      <c r="AO1453" s="340"/>
      <c r="AS1453" s="340"/>
      <c r="AX1453" s="340"/>
      <c r="BB1453" s="340"/>
      <c r="BD1453" s="339"/>
    </row>
    <row r="1454" spans="7:56" s="338" customFormat="1">
      <c r="G1454" s="340"/>
      <c r="L1454" s="340"/>
      <c r="P1454" s="340"/>
      <c r="U1454" s="340"/>
      <c r="V1454" s="340"/>
      <c r="Z1454" s="340"/>
      <c r="AE1454" s="340"/>
      <c r="AI1454" s="340"/>
      <c r="AN1454" s="340"/>
      <c r="AO1454" s="340"/>
      <c r="AS1454" s="340"/>
      <c r="AX1454" s="340"/>
      <c r="BB1454" s="340"/>
      <c r="BD1454" s="339"/>
    </row>
    <row r="1455" spans="7:56" s="338" customFormat="1">
      <c r="G1455" s="340"/>
      <c r="L1455" s="340"/>
      <c r="P1455" s="340"/>
      <c r="U1455" s="340"/>
      <c r="V1455" s="340"/>
      <c r="Z1455" s="340"/>
      <c r="AE1455" s="340"/>
      <c r="AI1455" s="340"/>
      <c r="AN1455" s="340"/>
      <c r="AO1455" s="340"/>
      <c r="AS1455" s="340"/>
      <c r="AX1455" s="340"/>
      <c r="BB1455" s="340"/>
      <c r="BD1455" s="339"/>
    </row>
    <row r="1456" spans="7:56" s="338" customFormat="1">
      <c r="G1456" s="340"/>
      <c r="L1456" s="340"/>
      <c r="P1456" s="340"/>
      <c r="U1456" s="340"/>
      <c r="V1456" s="340"/>
      <c r="Z1456" s="340"/>
      <c r="AE1456" s="340"/>
      <c r="AI1456" s="340"/>
      <c r="AN1456" s="340"/>
      <c r="AO1456" s="340"/>
      <c r="AS1456" s="340"/>
      <c r="AX1456" s="340"/>
      <c r="BB1456" s="340"/>
      <c r="BD1456" s="339"/>
    </row>
    <row r="1457" spans="7:56" s="338" customFormat="1">
      <c r="G1457" s="340"/>
      <c r="L1457" s="340"/>
      <c r="P1457" s="340"/>
      <c r="U1457" s="340"/>
      <c r="V1457" s="340"/>
      <c r="Z1457" s="340"/>
      <c r="AE1457" s="340"/>
      <c r="AI1457" s="340"/>
      <c r="AN1457" s="340"/>
      <c r="AO1457" s="340"/>
      <c r="AS1457" s="340"/>
      <c r="AX1457" s="340"/>
      <c r="BB1457" s="340"/>
      <c r="BD1457" s="339"/>
    </row>
    <row r="1458" spans="7:56" s="338" customFormat="1">
      <c r="G1458" s="340"/>
      <c r="L1458" s="340"/>
      <c r="P1458" s="340"/>
      <c r="U1458" s="340"/>
      <c r="V1458" s="340"/>
      <c r="Z1458" s="340"/>
      <c r="AE1458" s="340"/>
      <c r="AI1458" s="340"/>
      <c r="AN1458" s="340"/>
      <c r="AO1458" s="340"/>
      <c r="AS1458" s="340"/>
      <c r="AX1458" s="340"/>
      <c r="BB1458" s="340"/>
      <c r="BD1458" s="339"/>
    </row>
    <row r="1459" spans="7:56" s="338" customFormat="1">
      <c r="G1459" s="340"/>
      <c r="L1459" s="340"/>
      <c r="P1459" s="340"/>
      <c r="U1459" s="340"/>
      <c r="V1459" s="340"/>
      <c r="Z1459" s="340"/>
      <c r="AE1459" s="340"/>
      <c r="AI1459" s="340"/>
      <c r="AN1459" s="340"/>
      <c r="AO1459" s="340"/>
      <c r="AS1459" s="340"/>
      <c r="AX1459" s="340"/>
      <c r="BB1459" s="340"/>
      <c r="BD1459" s="339"/>
    </row>
    <row r="1460" spans="7:56" s="338" customFormat="1">
      <c r="G1460" s="340"/>
      <c r="L1460" s="340"/>
      <c r="P1460" s="340"/>
      <c r="U1460" s="340"/>
      <c r="V1460" s="340"/>
      <c r="Z1460" s="340"/>
      <c r="AE1460" s="340"/>
      <c r="AI1460" s="340"/>
      <c r="AN1460" s="340"/>
      <c r="AO1460" s="340"/>
      <c r="AS1460" s="340"/>
      <c r="AX1460" s="340"/>
      <c r="BB1460" s="340"/>
      <c r="BD1460" s="339"/>
    </row>
    <row r="1461" spans="7:56" s="338" customFormat="1">
      <c r="G1461" s="340"/>
      <c r="L1461" s="340"/>
      <c r="P1461" s="340"/>
      <c r="U1461" s="340"/>
      <c r="V1461" s="340"/>
      <c r="Z1461" s="340"/>
      <c r="AE1461" s="340"/>
      <c r="AI1461" s="340"/>
      <c r="AN1461" s="340"/>
      <c r="AO1461" s="340"/>
      <c r="AS1461" s="340"/>
      <c r="AX1461" s="340"/>
      <c r="BB1461" s="340"/>
      <c r="BD1461" s="339"/>
    </row>
    <row r="1462" spans="7:56" s="338" customFormat="1">
      <c r="G1462" s="340"/>
      <c r="L1462" s="340"/>
      <c r="P1462" s="340"/>
      <c r="U1462" s="340"/>
      <c r="V1462" s="340"/>
      <c r="Z1462" s="340"/>
      <c r="AE1462" s="340"/>
      <c r="AI1462" s="340"/>
      <c r="AN1462" s="340"/>
      <c r="AO1462" s="340"/>
      <c r="AS1462" s="340"/>
      <c r="AX1462" s="340"/>
      <c r="BB1462" s="340"/>
      <c r="BD1462" s="339"/>
    </row>
    <row r="1463" spans="7:56" s="338" customFormat="1">
      <c r="G1463" s="340"/>
      <c r="L1463" s="340"/>
      <c r="P1463" s="340"/>
      <c r="U1463" s="340"/>
      <c r="V1463" s="340"/>
      <c r="Z1463" s="340"/>
      <c r="AE1463" s="340"/>
      <c r="AI1463" s="340"/>
      <c r="AN1463" s="340"/>
      <c r="AO1463" s="340"/>
      <c r="AS1463" s="340"/>
      <c r="AX1463" s="340"/>
      <c r="BB1463" s="340"/>
      <c r="BD1463" s="339"/>
    </row>
    <row r="1464" spans="7:56" s="338" customFormat="1">
      <c r="G1464" s="340"/>
      <c r="L1464" s="340"/>
      <c r="P1464" s="340"/>
      <c r="U1464" s="340"/>
      <c r="V1464" s="340"/>
      <c r="Z1464" s="340"/>
      <c r="AE1464" s="340"/>
      <c r="AI1464" s="340"/>
      <c r="AN1464" s="340"/>
      <c r="AO1464" s="340"/>
      <c r="AS1464" s="340"/>
      <c r="AX1464" s="340"/>
      <c r="BB1464" s="340"/>
      <c r="BD1464" s="339"/>
    </row>
    <row r="1465" spans="7:56" s="338" customFormat="1">
      <c r="G1465" s="340"/>
      <c r="L1465" s="340"/>
      <c r="P1465" s="340"/>
      <c r="U1465" s="340"/>
      <c r="V1465" s="340"/>
      <c r="Z1465" s="340"/>
      <c r="AE1465" s="340"/>
      <c r="AI1465" s="340"/>
      <c r="AN1465" s="340"/>
      <c r="AO1465" s="340"/>
      <c r="AS1465" s="340"/>
      <c r="AX1465" s="340"/>
      <c r="BB1465" s="340"/>
      <c r="BD1465" s="339"/>
    </row>
    <row r="1466" spans="7:56" s="338" customFormat="1">
      <c r="G1466" s="340"/>
      <c r="L1466" s="340"/>
      <c r="P1466" s="340"/>
      <c r="U1466" s="340"/>
      <c r="V1466" s="340"/>
      <c r="Z1466" s="340"/>
      <c r="AE1466" s="340"/>
      <c r="AI1466" s="340"/>
      <c r="AN1466" s="340"/>
      <c r="AO1466" s="340"/>
      <c r="AS1466" s="340"/>
      <c r="AX1466" s="340"/>
      <c r="BB1466" s="340"/>
      <c r="BD1466" s="339"/>
    </row>
    <row r="1467" spans="7:56" s="338" customFormat="1">
      <c r="G1467" s="340"/>
      <c r="L1467" s="340"/>
      <c r="P1467" s="340"/>
      <c r="U1467" s="340"/>
      <c r="V1467" s="340"/>
      <c r="Z1467" s="340"/>
      <c r="AE1467" s="340"/>
      <c r="AI1467" s="340"/>
      <c r="AN1467" s="340"/>
      <c r="AO1467" s="340"/>
      <c r="AS1467" s="340"/>
      <c r="AX1467" s="340"/>
      <c r="BB1467" s="340"/>
      <c r="BD1467" s="339"/>
    </row>
    <row r="1468" spans="7:56" s="338" customFormat="1">
      <c r="G1468" s="340"/>
      <c r="L1468" s="340"/>
      <c r="P1468" s="340"/>
      <c r="U1468" s="340"/>
      <c r="V1468" s="340"/>
      <c r="Z1468" s="340"/>
      <c r="AE1468" s="340"/>
      <c r="AI1468" s="340"/>
      <c r="AN1468" s="340"/>
      <c r="AO1468" s="340"/>
      <c r="AS1468" s="340"/>
      <c r="AX1468" s="340"/>
      <c r="BB1468" s="340"/>
      <c r="BD1468" s="339"/>
    </row>
    <row r="1469" spans="7:56" s="338" customFormat="1">
      <c r="G1469" s="340"/>
      <c r="L1469" s="340"/>
      <c r="P1469" s="340"/>
      <c r="U1469" s="340"/>
      <c r="V1469" s="340"/>
      <c r="Z1469" s="340"/>
      <c r="AE1469" s="340"/>
      <c r="AI1469" s="340"/>
      <c r="AN1469" s="340"/>
      <c r="AO1469" s="340"/>
      <c r="AS1469" s="340"/>
      <c r="AX1469" s="340"/>
      <c r="BB1469" s="340"/>
      <c r="BD1469" s="339"/>
    </row>
    <row r="1470" spans="7:56" s="338" customFormat="1">
      <c r="G1470" s="340"/>
      <c r="L1470" s="340"/>
      <c r="P1470" s="340"/>
      <c r="U1470" s="340"/>
      <c r="V1470" s="340"/>
      <c r="Z1470" s="340"/>
      <c r="AE1470" s="340"/>
      <c r="AI1470" s="340"/>
      <c r="AN1470" s="340"/>
      <c r="AO1470" s="340"/>
      <c r="AS1470" s="340"/>
      <c r="AX1470" s="340"/>
      <c r="BB1470" s="340"/>
      <c r="BD1470" s="339"/>
    </row>
    <row r="1471" spans="7:56" s="338" customFormat="1">
      <c r="G1471" s="340"/>
      <c r="L1471" s="340"/>
      <c r="P1471" s="340"/>
      <c r="U1471" s="340"/>
      <c r="V1471" s="340"/>
      <c r="Z1471" s="340"/>
      <c r="AE1471" s="340"/>
      <c r="AI1471" s="340"/>
      <c r="AN1471" s="340"/>
      <c r="AO1471" s="340"/>
      <c r="AS1471" s="340"/>
      <c r="AX1471" s="340"/>
      <c r="BB1471" s="340"/>
      <c r="BD1471" s="339"/>
    </row>
    <row r="1472" spans="7:56" s="338" customFormat="1">
      <c r="G1472" s="340"/>
      <c r="L1472" s="340"/>
      <c r="P1472" s="340"/>
      <c r="U1472" s="340"/>
      <c r="V1472" s="340"/>
      <c r="Z1472" s="340"/>
      <c r="AE1472" s="340"/>
      <c r="AI1472" s="340"/>
      <c r="AN1472" s="340"/>
      <c r="AO1472" s="340"/>
      <c r="AS1472" s="340"/>
      <c r="AX1472" s="340"/>
      <c r="BB1472" s="340"/>
      <c r="BD1472" s="339"/>
    </row>
    <row r="1473" spans="7:56" s="338" customFormat="1">
      <c r="G1473" s="340"/>
      <c r="L1473" s="340"/>
      <c r="P1473" s="340"/>
      <c r="U1473" s="340"/>
      <c r="V1473" s="340"/>
      <c r="Z1473" s="340"/>
      <c r="AE1473" s="340"/>
      <c r="AI1473" s="340"/>
      <c r="AN1473" s="340"/>
      <c r="AO1473" s="340"/>
      <c r="AS1473" s="340"/>
      <c r="AX1473" s="340"/>
      <c r="BB1473" s="340"/>
      <c r="BD1473" s="339"/>
    </row>
    <row r="1474" spans="7:56" s="338" customFormat="1">
      <c r="G1474" s="340"/>
      <c r="L1474" s="340"/>
      <c r="P1474" s="340"/>
      <c r="U1474" s="340"/>
      <c r="V1474" s="340"/>
      <c r="Z1474" s="340"/>
      <c r="AE1474" s="340"/>
      <c r="AI1474" s="340"/>
      <c r="AN1474" s="340"/>
      <c r="AO1474" s="340"/>
      <c r="AS1474" s="340"/>
      <c r="AX1474" s="340"/>
      <c r="BB1474" s="340"/>
      <c r="BD1474" s="339"/>
    </row>
    <row r="1475" spans="7:56" s="338" customFormat="1">
      <c r="G1475" s="340"/>
      <c r="L1475" s="340"/>
      <c r="P1475" s="340"/>
      <c r="U1475" s="340"/>
      <c r="V1475" s="340"/>
      <c r="Z1475" s="340"/>
      <c r="AE1475" s="340"/>
      <c r="AI1475" s="340"/>
      <c r="AN1475" s="340"/>
      <c r="AO1475" s="340"/>
      <c r="AS1475" s="340"/>
      <c r="AX1475" s="340"/>
      <c r="BB1475" s="340"/>
      <c r="BD1475" s="339"/>
    </row>
    <row r="1476" spans="7:56" s="338" customFormat="1">
      <c r="G1476" s="340"/>
      <c r="L1476" s="340"/>
      <c r="P1476" s="340"/>
      <c r="U1476" s="340"/>
      <c r="V1476" s="340"/>
      <c r="Z1476" s="340"/>
      <c r="AE1476" s="340"/>
      <c r="AI1476" s="340"/>
      <c r="AN1476" s="340"/>
      <c r="AO1476" s="340"/>
      <c r="AS1476" s="340"/>
      <c r="AX1476" s="340"/>
      <c r="BB1476" s="340"/>
      <c r="BD1476" s="339"/>
    </row>
    <row r="1477" spans="7:56" s="338" customFormat="1">
      <c r="G1477" s="340"/>
      <c r="L1477" s="340"/>
      <c r="P1477" s="340"/>
      <c r="U1477" s="340"/>
      <c r="V1477" s="340"/>
      <c r="Z1477" s="340"/>
      <c r="AE1477" s="340"/>
      <c r="AI1477" s="340"/>
      <c r="AN1477" s="340"/>
      <c r="AO1477" s="340"/>
      <c r="AS1477" s="340"/>
      <c r="AX1477" s="340"/>
      <c r="BB1477" s="340"/>
      <c r="BD1477" s="339"/>
    </row>
    <row r="1478" spans="7:56" s="338" customFormat="1">
      <c r="G1478" s="340"/>
      <c r="L1478" s="340"/>
      <c r="P1478" s="340"/>
      <c r="U1478" s="340"/>
      <c r="V1478" s="340"/>
      <c r="Z1478" s="340"/>
      <c r="AE1478" s="340"/>
      <c r="AI1478" s="340"/>
      <c r="AN1478" s="340"/>
      <c r="AO1478" s="340"/>
      <c r="AS1478" s="340"/>
      <c r="AX1478" s="340"/>
      <c r="BB1478" s="340"/>
      <c r="BD1478" s="339"/>
    </row>
    <row r="1479" spans="7:56" s="338" customFormat="1">
      <c r="G1479" s="340"/>
      <c r="L1479" s="340"/>
      <c r="P1479" s="340"/>
      <c r="U1479" s="340"/>
      <c r="V1479" s="340"/>
      <c r="Z1479" s="340"/>
      <c r="AE1479" s="340"/>
      <c r="AI1479" s="340"/>
      <c r="AN1479" s="340"/>
      <c r="AO1479" s="340"/>
      <c r="AS1479" s="340"/>
      <c r="AX1479" s="340"/>
      <c r="BB1479" s="340"/>
      <c r="BD1479" s="339"/>
    </row>
    <row r="1480" spans="7:56" s="338" customFormat="1">
      <c r="G1480" s="340"/>
      <c r="L1480" s="340"/>
      <c r="P1480" s="340"/>
      <c r="U1480" s="340"/>
      <c r="V1480" s="340"/>
      <c r="Z1480" s="340"/>
      <c r="AE1480" s="340"/>
      <c r="AI1480" s="340"/>
      <c r="AN1480" s="340"/>
      <c r="AO1480" s="340"/>
      <c r="AS1480" s="340"/>
      <c r="AX1480" s="340"/>
      <c r="BB1480" s="340"/>
      <c r="BD1480" s="339"/>
    </row>
    <row r="1481" spans="7:56" s="338" customFormat="1">
      <c r="G1481" s="340"/>
      <c r="L1481" s="340"/>
      <c r="P1481" s="340"/>
      <c r="U1481" s="340"/>
      <c r="V1481" s="340"/>
      <c r="Z1481" s="340"/>
      <c r="AE1481" s="340"/>
      <c r="AI1481" s="340"/>
      <c r="AN1481" s="340"/>
      <c r="AO1481" s="340"/>
      <c r="AS1481" s="340"/>
      <c r="AX1481" s="340"/>
      <c r="BB1481" s="340"/>
      <c r="BD1481" s="339"/>
    </row>
    <row r="1482" spans="7:56" s="338" customFormat="1">
      <c r="G1482" s="340"/>
      <c r="L1482" s="340"/>
      <c r="P1482" s="340"/>
      <c r="U1482" s="340"/>
      <c r="V1482" s="340"/>
      <c r="Z1482" s="340"/>
      <c r="AE1482" s="340"/>
      <c r="AI1482" s="340"/>
      <c r="AN1482" s="340"/>
      <c r="AO1482" s="340"/>
      <c r="AS1482" s="340"/>
      <c r="AX1482" s="340"/>
      <c r="BB1482" s="340"/>
      <c r="BD1482" s="339"/>
    </row>
    <row r="1483" spans="7:56" s="338" customFormat="1">
      <c r="G1483" s="340"/>
      <c r="L1483" s="340"/>
      <c r="P1483" s="340"/>
      <c r="U1483" s="340"/>
      <c r="V1483" s="340"/>
      <c r="Z1483" s="340"/>
      <c r="AE1483" s="340"/>
      <c r="AI1483" s="340"/>
      <c r="AN1483" s="340"/>
      <c r="AO1483" s="340"/>
      <c r="AS1483" s="340"/>
      <c r="AX1483" s="340"/>
      <c r="BB1483" s="340"/>
      <c r="BD1483" s="339"/>
    </row>
    <row r="1484" spans="7:56" s="338" customFormat="1">
      <c r="G1484" s="340"/>
      <c r="L1484" s="340"/>
      <c r="P1484" s="340"/>
      <c r="U1484" s="340"/>
      <c r="V1484" s="340"/>
      <c r="Z1484" s="340"/>
      <c r="AE1484" s="340"/>
      <c r="AI1484" s="340"/>
      <c r="AN1484" s="340"/>
      <c r="AO1484" s="340"/>
      <c r="AS1484" s="340"/>
      <c r="AX1484" s="340"/>
      <c r="BB1484" s="340"/>
      <c r="BD1484" s="339"/>
    </row>
    <row r="1485" spans="7:56" s="338" customFormat="1">
      <c r="G1485" s="340"/>
      <c r="L1485" s="340"/>
      <c r="P1485" s="340"/>
      <c r="U1485" s="340"/>
      <c r="V1485" s="340"/>
      <c r="Z1485" s="340"/>
      <c r="AE1485" s="340"/>
      <c r="AI1485" s="340"/>
      <c r="AN1485" s="340"/>
      <c r="AO1485" s="340"/>
      <c r="AS1485" s="340"/>
      <c r="AX1485" s="340"/>
      <c r="BB1485" s="340"/>
      <c r="BD1485" s="339"/>
    </row>
    <row r="1486" spans="7:56" s="338" customFormat="1">
      <c r="G1486" s="340"/>
      <c r="L1486" s="340"/>
      <c r="P1486" s="340"/>
      <c r="U1486" s="340"/>
      <c r="V1486" s="340"/>
      <c r="Z1486" s="340"/>
      <c r="AE1486" s="340"/>
      <c r="AI1486" s="340"/>
      <c r="AN1486" s="340"/>
      <c r="AO1486" s="340"/>
      <c r="AS1486" s="340"/>
      <c r="AX1486" s="340"/>
      <c r="BB1486" s="340"/>
      <c r="BD1486" s="339"/>
    </row>
    <row r="1487" spans="7:56" s="338" customFormat="1">
      <c r="G1487" s="340"/>
      <c r="L1487" s="340"/>
      <c r="P1487" s="340"/>
      <c r="U1487" s="340"/>
      <c r="V1487" s="340"/>
      <c r="Z1487" s="340"/>
      <c r="AE1487" s="340"/>
      <c r="AI1487" s="340"/>
      <c r="AN1487" s="340"/>
      <c r="AO1487" s="340"/>
      <c r="AS1487" s="340"/>
      <c r="AX1487" s="340"/>
      <c r="BB1487" s="340"/>
      <c r="BD1487" s="339"/>
    </row>
    <row r="1488" spans="7:56" s="338" customFormat="1">
      <c r="G1488" s="340"/>
      <c r="L1488" s="340"/>
      <c r="P1488" s="340"/>
      <c r="U1488" s="340"/>
      <c r="V1488" s="340"/>
      <c r="Z1488" s="340"/>
      <c r="AE1488" s="340"/>
      <c r="AI1488" s="340"/>
      <c r="AN1488" s="340"/>
      <c r="AO1488" s="340"/>
      <c r="AS1488" s="340"/>
      <c r="AX1488" s="340"/>
      <c r="BB1488" s="340"/>
      <c r="BD1488" s="339"/>
    </row>
    <row r="1489" spans="7:56" s="338" customFormat="1">
      <c r="G1489" s="340"/>
      <c r="L1489" s="340"/>
      <c r="P1489" s="340"/>
      <c r="U1489" s="340"/>
      <c r="V1489" s="340"/>
      <c r="Z1489" s="340"/>
      <c r="AE1489" s="340"/>
      <c r="AI1489" s="340"/>
      <c r="AN1489" s="340"/>
      <c r="AO1489" s="340"/>
      <c r="AS1489" s="340"/>
      <c r="AX1489" s="340"/>
      <c r="BB1489" s="340"/>
      <c r="BD1489" s="339"/>
    </row>
    <row r="1490" spans="7:56" s="338" customFormat="1">
      <c r="G1490" s="340"/>
      <c r="L1490" s="340"/>
      <c r="P1490" s="340"/>
      <c r="U1490" s="340"/>
      <c r="V1490" s="340"/>
      <c r="Z1490" s="340"/>
      <c r="AE1490" s="340"/>
      <c r="AI1490" s="340"/>
      <c r="AN1490" s="340"/>
      <c r="AO1490" s="340"/>
      <c r="AS1490" s="340"/>
      <c r="AX1490" s="340"/>
      <c r="BB1490" s="340"/>
      <c r="BD1490" s="339"/>
    </row>
    <row r="1491" spans="7:56" s="338" customFormat="1">
      <c r="G1491" s="340"/>
      <c r="L1491" s="340"/>
      <c r="P1491" s="340"/>
      <c r="U1491" s="340"/>
      <c r="V1491" s="340"/>
      <c r="Z1491" s="340"/>
      <c r="AE1491" s="340"/>
      <c r="AI1491" s="340"/>
      <c r="AN1491" s="340"/>
      <c r="AO1491" s="340"/>
      <c r="AS1491" s="340"/>
      <c r="AX1491" s="340"/>
      <c r="BB1491" s="340"/>
      <c r="BD1491" s="339"/>
    </row>
    <row r="1492" spans="7:56" s="338" customFormat="1">
      <c r="G1492" s="340"/>
      <c r="L1492" s="340"/>
      <c r="P1492" s="340"/>
      <c r="U1492" s="340"/>
      <c r="V1492" s="340"/>
      <c r="Z1492" s="340"/>
      <c r="AE1492" s="340"/>
      <c r="AI1492" s="340"/>
      <c r="AN1492" s="340"/>
      <c r="AO1492" s="340"/>
      <c r="AS1492" s="340"/>
      <c r="AX1492" s="340"/>
      <c r="BB1492" s="340"/>
      <c r="BD1492" s="339"/>
    </row>
    <row r="1493" spans="7:56" s="338" customFormat="1">
      <c r="G1493" s="340"/>
      <c r="L1493" s="340"/>
      <c r="P1493" s="340"/>
      <c r="U1493" s="340"/>
      <c r="V1493" s="340"/>
      <c r="Z1493" s="340"/>
      <c r="AE1493" s="340"/>
      <c r="AI1493" s="340"/>
      <c r="AN1493" s="340"/>
      <c r="AO1493" s="340"/>
      <c r="AS1493" s="340"/>
      <c r="AX1493" s="340"/>
      <c r="BB1493" s="340"/>
      <c r="BD1493" s="339"/>
    </row>
    <row r="1494" spans="7:56" s="338" customFormat="1">
      <c r="G1494" s="340"/>
      <c r="L1494" s="340"/>
      <c r="P1494" s="340"/>
      <c r="U1494" s="340"/>
      <c r="V1494" s="340"/>
      <c r="Z1494" s="340"/>
      <c r="AE1494" s="340"/>
      <c r="AI1494" s="340"/>
      <c r="AN1494" s="340"/>
      <c r="AO1494" s="340"/>
      <c r="AS1494" s="340"/>
      <c r="AX1494" s="340"/>
      <c r="BB1494" s="340"/>
      <c r="BD1494" s="339"/>
    </row>
    <row r="1495" spans="7:56" s="338" customFormat="1">
      <c r="G1495" s="340"/>
      <c r="L1495" s="340"/>
      <c r="P1495" s="340"/>
      <c r="U1495" s="340"/>
      <c r="V1495" s="340"/>
      <c r="Z1495" s="340"/>
      <c r="AE1495" s="340"/>
      <c r="AI1495" s="340"/>
      <c r="AN1495" s="340"/>
      <c r="AO1495" s="340"/>
      <c r="AS1495" s="340"/>
      <c r="AX1495" s="340"/>
      <c r="BB1495" s="340"/>
      <c r="BD1495" s="339"/>
    </row>
    <row r="1496" spans="7:56" s="338" customFormat="1">
      <c r="G1496" s="340"/>
      <c r="L1496" s="340"/>
      <c r="P1496" s="340"/>
      <c r="U1496" s="340"/>
      <c r="V1496" s="340"/>
      <c r="Z1496" s="340"/>
      <c r="AE1496" s="340"/>
      <c r="AI1496" s="340"/>
      <c r="AN1496" s="340"/>
      <c r="AO1496" s="340"/>
      <c r="AS1496" s="340"/>
      <c r="AX1496" s="340"/>
      <c r="BB1496" s="340"/>
      <c r="BD1496" s="339"/>
    </row>
    <row r="1497" spans="7:56" s="338" customFormat="1">
      <c r="G1497" s="340"/>
      <c r="L1497" s="340"/>
      <c r="P1497" s="340"/>
      <c r="U1497" s="340"/>
      <c r="V1497" s="340"/>
      <c r="Z1497" s="340"/>
      <c r="AE1497" s="340"/>
      <c r="AI1497" s="340"/>
      <c r="AN1497" s="340"/>
      <c r="AO1497" s="340"/>
      <c r="AS1497" s="340"/>
      <c r="AX1497" s="340"/>
      <c r="BB1497" s="340"/>
      <c r="BD1497" s="339"/>
    </row>
    <row r="1498" spans="7:56" s="338" customFormat="1">
      <c r="G1498" s="340"/>
      <c r="L1498" s="340"/>
      <c r="P1498" s="340"/>
      <c r="U1498" s="340"/>
      <c r="V1498" s="340"/>
      <c r="Z1498" s="340"/>
      <c r="AE1498" s="340"/>
      <c r="AI1498" s="340"/>
      <c r="AN1498" s="340"/>
      <c r="AO1498" s="340"/>
      <c r="AS1498" s="340"/>
      <c r="AX1498" s="340"/>
      <c r="BB1498" s="340"/>
      <c r="BD1498" s="339"/>
    </row>
    <row r="1499" spans="7:56" s="338" customFormat="1">
      <c r="G1499" s="340"/>
      <c r="L1499" s="340"/>
      <c r="P1499" s="340"/>
      <c r="U1499" s="340"/>
      <c r="V1499" s="340"/>
      <c r="Z1499" s="340"/>
      <c r="AE1499" s="340"/>
      <c r="AI1499" s="340"/>
      <c r="AN1499" s="340"/>
      <c r="AO1499" s="340"/>
      <c r="AS1499" s="340"/>
      <c r="AX1499" s="340"/>
      <c r="BB1499" s="340"/>
      <c r="BD1499" s="339"/>
    </row>
    <row r="1500" spans="7:56" s="338" customFormat="1">
      <c r="G1500" s="340"/>
      <c r="L1500" s="340"/>
      <c r="P1500" s="340"/>
      <c r="U1500" s="340"/>
      <c r="V1500" s="340"/>
      <c r="Z1500" s="340"/>
      <c r="AE1500" s="340"/>
      <c r="AI1500" s="340"/>
      <c r="AN1500" s="340"/>
      <c r="AO1500" s="340"/>
      <c r="AS1500" s="340"/>
      <c r="AX1500" s="340"/>
      <c r="BB1500" s="340"/>
      <c r="BD1500" s="339"/>
    </row>
    <row r="1501" spans="7:56" s="338" customFormat="1">
      <c r="G1501" s="340"/>
      <c r="L1501" s="340"/>
      <c r="P1501" s="340"/>
      <c r="U1501" s="340"/>
      <c r="V1501" s="340"/>
      <c r="Z1501" s="340"/>
      <c r="AE1501" s="340"/>
      <c r="AI1501" s="340"/>
      <c r="AN1501" s="340"/>
      <c r="AO1501" s="340"/>
      <c r="AS1501" s="340"/>
      <c r="AX1501" s="340"/>
      <c r="BB1501" s="340"/>
      <c r="BD1501" s="339"/>
    </row>
    <row r="1502" spans="7:56" s="338" customFormat="1">
      <c r="G1502" s="340"/>
      <c r="L1502" s="340"/>
      <c r="P1502" s="340"/>
      <c r="U1502" s="340"/>
      <c r="V1502" s="340"/>
      <c r="Z1502" s="340"/>
      <c r="AE1502" s="340"/>
      <c r="AI1502" s="340"/>
      <c r="AN1502" s="340"/>
      <c r="AO1502" s="340"/>
      <c r="AS1502" s="340"/>
      <c r="AX1502" s="340"/>
      <c r="BB1502" s="340"/>
      <c r="BD1502" s="339"/>
    </row>
    <row r="1503" spans="7:56" s="338" customFormat="1">
      <c r="G1503" s="340"/>
      <c r="L1503" s="340"/>
      <c r="P1503" s="340"/>
      <c r="U1503" s="340"/>
      <c r="V1503" s="340"/>
      <c r="Z1503" s="340"/>
      <c r="AE1503" s="340"/>
      <c r="AI1503" s="340"/>
      <c r="AN1503" s="340"/>
      <c r="AO1503" s="340"/>
      <c r="AS1503" s="340"/>
      <c r="AX1503" s="340"/>
      <c r="BB1503" s="340"/>
      <c r="BD1503" s="339"/>
    </row>
    <row r="1504" spans="7:56" s="338" customFormat="1">
      <c r="G1504" s="340"/>
      <c r="L1504" s="340"/>
      <c r="P1504" s="340"/>
      <c r="U1504" s="340"/>
      <c r="V1504" s="340"/>
      <c r="Z1504" s="340"/>
      <c r="AE1504" s="340"/>
      <c r="AI1504" s="340"/>
      <c r="AN1504" s="340"/>
      <c r="AO1504" s="340"/>
      <c r="AS1504" s="340"/>
      <c r="AX1504" s="340"/>
      <c r="BB1504" s="340"/>
      <c r="BD1504" s="339"/>
    </row>
    <row r="1505" spans="7:56" s="338" customFormat="1">
      <c r="G1505" s="340"/>
      <c r="L1505" s="340"/>
      <c r="P1505" s="340"/>
      <c r="U1505" s="340"/>
      <c r="V1505" s="340"/>
      <c r="Z1505" s="340"/>
      <c r="AE1505" s="340"/>
      <c r="AI1505" s="340"/>
      <c r="AN1505" s="340"/>
      <c r="AO1505" s="340"/>
      <c r="AS1505" s="340"/>
      <c r="AX1505" s="340"/>
      <c r="BB1505" s="340"/>
      <c r="BD1505" s="339"/>
    </row>
    <row r="1506" spans="7:56" s="338" customFormat="1">
      <c r="G1506" s="340"/>
      <c r="L1506" s="340"/>
      <c r="P1506" s="340"/>
      <c r="U1506" s="340"/>
      <c r="V1506" s="340"/>
      <c r="Z1506" s="340"/>
      <c r="AE1506" s="340"/>
      <c r="AI1506" s="340"/>
      <c r="AN1506" s="340"/>
      <c r="AO1506" s="340"/>
      <c r="AS1506" s="340"/>
      <c r="AX1506" s="340"/>
      <c r="BB1506" s="340"/>
      <c r="BD1506" s="339"/>
    </row>
    <row r="1507" spans="7:56" s="338" customFormat="1">
      <c r="G1507" s="340"/>
      <c r="L1507" s="340"/>
      <c r="P1507" s="340"/>
      <c r="U1507" s="340"/>
      <c r="V1507" s="340"/>
      <c r="Z1507" s="340"/>
      <c r="AE1507" s="340"/>
      <c r="AI1507" s="340"/>
      <c r="AN1507" s="340"/>
      <c r="AO1507" s="340"/>
      <c r="AS1507" s="340"/>
      <c r="AX1507" s="340"/>
      <c r="BB1507" s="340"/>
      <c r="BD1507" s="339"/>
    </row>
    <row r="1508" spans="7:56" s="338" customFormat="1">
      <c r="G1508" s="340"/>
      <c r="L1508" s="340"/>
      <c r="P1508" s="340"/>
      <c r="U1508" s="340"/>
      <c r="V1508" s="340"/>
      <c r="Z1508" s="340"/>
      <c r="AE1508" s="340"/>
      <c r="AI1508" s="340"/>
      <c r="AN1508" s="340"/>
      <c r="AO1508" s="340"/>
      <c r="AS1508" s="340"/>
      <c r="AX1508" s="340"/>
      <c r="BB1508" s="340"/>
      <c r="BD1508" s="339"/>
    </row>
    <row r="1509" spans="7:56" s="338" customFormat="1">
      <c r="G1509" s="340"/>
      <c r="L1509" s="340"/>
      <c r="P1509" s="340"/>
      <c r="U1509" s="340"/>
      <c r="V1509" s="340"/>
      <c r="Z1509" s="340"/>
      <c r="AE1509" s="340"/>
      <c r="AI1509" s="340"/>
      <c r="AN1509" s="340"/>
      <c r="AO1509" s="340"/>
      <c r="AS1509" s="340"/>
      <c r="AX1509" s="340"/>
      <c r="BB1509" s="340"/>
      <c r="BD1509" s="339"/>
    </row>
    <row r="1510" spans="7:56" s="338" customFormat="1">
      <c r="G1510" s="340"/>
      <c r="L1510" s="340"/>
      <c r="P1510" s="340"/>
      <c r="U1510" s="340"/>
      <c r="V1510" s="340"/>
      <c r="Z1510" s="340"/>
      <c r="AE1510" s="340"/>
      <c r="AI1510" s="340"/>
      <c r="AN1510" s="340"/>
      <c r="AO1510" s="340"/>
      <c r="AS1510" s="340"/>
      <c r="AX1510" s="340"/>
      <c r="BB1510" s="340"/>
      <c r="BD1510" s="339"/>
    </row>
    <row r="1511" spans="7:56" s="338" customFormat="1">
      <c r="G1511" s="340"/>
      <c r="L1511" s="340"/>
      <c r="P1511" s="340"/>
      <c r="U1511" s="340"/>
      <c r="V1511" s="340"/>
      <c r="Z1511" s="340"/>
      <c r="AE1511" s="340"/>
      <c r="AI1511" s="340"/>
      <c r="AN1511" s="340"/>
      <c r="AO1511" s="340"/>
      <c r="AS1511" s="340"/>
      <c r="AX1511" s="340"/>
      <c r="BB1511" s="340"/>
      <c r="BD1511" s="339"/>
    </row>
    <row r="1512" spans="7:56" s="338" customFormat="1">
      <c r="G1512" s="340"/>
      <c r="L1512" s="340"/>
      <c r="P1512" s="340"/>
      <c r="U1512" s="340"/>
      <c r="V1512" s="340"/>
      <c r="Z1512" s="340"/>
      <c r="AE1512" s="340"/>
      <c r="AI1512" s="340"/>
      <c r="AN1512" s="340"/>
      <c r="AO1512" s="340"/>
      <c r="AS1512" s="340"/>
      <c r="AX1512" s="340"/>
      <c r="BB1512" s="340"/>
      <c r="BD1512" s="339"/>
    </row>
    <row r="1513" spans="7:56" s="338" customFormat="1">
      <c r="G1513" s="340"/>
      <c r="L1513" s="340"/>
      <c r="P1513" s="340"/>
      <c r="U1513" s="340"/>
      <c r="V1513" s="340"/>
      <c r="Z1513" s="340"/>
      <c r="AE1513" s="340"/>
      <c r="AI1513" s="340"/>
      <c r="AN1513" s="340"/>
      <c r="AO1513" s="340"/>
      <c r="AS1513" s="340"/>
      <c r="AX1513" s="340"/>
      <c r="BB1513" s="340"/>
      <c r="BD1513" s="339"/>
    </row>
    <row r="1514" spans="7:56" s="338" customFormat="1">
      <c r="G1514" s="340"/>
      <c r="L1514" s="340"/>
      <c r="P1514" s="340"/>
      <c r="U1514" s="340"/>
      <c r="V1514" s="340"/>
      <c r="Z1514" s="340"/>
      <c r="AE1514" s="340"/>
      <c r="AI1514" s="340"/>
      <c r="AN1514" s="340"/>
      <c r="AO1514" s="340"/>
      <c r="AS1514" s="340"/>
      <c r="AX1514" s="340"/>
      <c r="BB1514" s="340"/>
      <c r="BD1514" s="339"/>
    </row>
    <row r="1515" spans="7:56" s="338" customFormat="1">
      <c r="G1515" s="340"/>
      <c r="L1515" s="340"/>
      <c r="P1515" s="340"/>
      <c r="U1515" s="340"/>
      <c r="V1515" s="340"/>
      <c r="Z1515" s="340"/>
      <c r="AE1515" s="340"/>
      <c r="AI1515" s="340"/>
      <c r="AN1515" s="340"/>
      <c r="AO1515" s="340"/>
      <c r="AS1515" s="340"/>
      <c r="AX1515" s="340"/>
      <c r="BB1515" s="340"/>
      <c r="BD1515" s="339"/>
    </row>
    <row r="1516" spans="7:56" s="338" customFormat="1">
      <c r="G1516" s="340"/>
      <c r="L1516" s="340"/>
      <c r="P1516" s="340"/>
      <c r="U1516" s="340"/>
      <c r="V1516" s="340"/>
      <c r="Z1516" s="340"/>
      <c r="AE1516" s="340"/>
      <c r="AI1516" s="340"/>
      <c r="AN1516" s="340"/>
      <c r="AO1516" s="340"/>
      <c r="AS1516" s="340"/>
      <c r="AX1516" s="340"/>
      <c r="BB1516" s="340"/>
      <c r="BD1516" s="339"/>
    </row>
    <row r="1517" spans="7:56" s="338" customFormat="1">
      <c r="G1517" s="340"/>
      <c r="L1517" s="340"/>
      <c r="P1517" s="340"/>
      <c r="U1517" s="340"/>
      <c r="V1517" s="340"/>
      <c r="Z1517" s="340"/>
      <c r="AE1517" s="340"/>
      <c r="AI1517" s="340"/>
      <c r="AN1517" s="340"/>
      <c r="AO1517" s="340"/>
      <c r="AS1517" s="340"/>
      <c r="AX1517" s="340"/>
      <c r="BB1517" s="340"/>
      <c r="BD1517" s="339"/>
    </row>
    <row r="1518" spans="7:56" s="338" customFormat="1">
      <c r="G1518" s="340"/>
      <c r="L1518" s="340"/>
      <c r="P1518" s="340"/>
      <c r="U1518" s="340"/>
      <c r="V1518" s="340"/>
      <c r="Z1518" s="340"/>
      <c r="AE1518" s="340"/>
      <c r="AI1518" s="340"/>
      <c r="AN1518" s="340"/>
      <c r="AO1518" s="340"/>
      <c r="AS1518" s="340"/>
      <c r="AX1518" s="340"/>
      <c r="BB1518" s="340"/>
      <c r="BD1518" s="339"/>
    </row>
    <row r="1519" spans="7:56" s="338" customFormat="1">
      <c r="G1519" s="340"/>
      <c r="L1519" s="340"/>
      <c r="P1519" s="340"/>
      <c r="U1519" s="340"/>
      <c r="V1519" s="340"/>
      <c r="Z1519" s="340"/>
      <c r="AE1519" s="340"/>
      <c r="AI1519" s="340"/>
      <c r="AN1519" s="340"/>
      <c r="AO1519" s="340"/>
      <c r="AS1519" s="340"/>
      <c r="AX1519" s="340"/>
      <c r="BB1519" s="340"/>
      <c r="BD1519" s="339"/>
    </row>
    <row r="1520" spans="7:56" s="338" customFormat="1">
      <c r="G1520" s="340"/>
      <c r="L1520" s="340"/>
      <c r="P1520" s="340"/>
      <c r="U1520" s="340"/>
      <c r="V1520" s="340"/>
      <c r="Z1520" s="340"/>
      <c r="AE1520" s="340"/>
      <c r="AI1520" s="340"/>
      <c r="AN1520" s="340"/>
      <c r="AO1520" s="340"/>
      <c r="AS1520" s="340"/>
      <c r="AX1520" s="340"/>
      <c r="BB1520" s="340"/>
      <c r="BD1520" s="339"/>
    </row>
    <row r="1521" spans="7:56" s="338" customFormat="1">
      <c r="G1521" s="340"/>
      <c r="L1521" s="340"/>
      <c r="P1521" s="340"/>
      <c r="U1521" s="340"/>
      <c r="V1521" s="340"/>
      <c r="Z1521" s="340"/>
      <c r="AE1521" s="340"/>
      <c r="AI1521" s="340"/>
      <c r="AN1521" s="340"/>
      <c r="AO1521" s="340"/>
      <c r="AS1521" s="340"/>
      <c r="AX1521" s="340"/>
      <c r="BB1521" s="340"/>
      <c r="BD1521" s="339"/>
    </row>
    <row r="1522" spans="7:56" s="338" customFormat="1">
      <c r="G1522" s="340"/>
      <c r="L1522" s="340"/>
      <c r="P1522" s="340"/>
      <c r="U1522" s="340"/>
      <c r="V1522" s="340"/>
      <c r="Z1522" s="340"/>
      <c r="AE1522" s="340"/>
      <c r="AI1522" s="340"/>
      <c r="AN1522" s="340"/>
      <c r="AO1522" s="340"/>
      <c r="AS1522" s="340"/>
      <c r="AX1522" s="340"/>
      <c r="BB1522" s="340"/>
      <c r="BD1522" s="339"/>
    </row>
    <row r="1523" spans="7:56" s="338" customFormat="1">
      <c r="G1523" s="340"/>
      <c r="L1523" s="340"/>
      <c r="P1523" s="340"/>
      <c r="U1523" s="340"/>
      <c r="V1523" s="340"/>
      <c r="Z1523" s="340"/>
      <c r="AE1523" s="340"/>
      <c r="AI1523" s="340"/>
      <c r="AN1523" s="340"/>
      <c r="AO1523" s="340"/>
      <c r="AS1523" s="340"/>
      <c r="AX1523" s="340"/>
      <c r="BB1523" s="340"/>
      <c r="BD1523" s="339"/>
    </row>
    <row r="1524" spans="7:56" s="338" customFormat="1">
      <c r="G1524" s="340"/>
      <c r="L1524" s="340"/>
      <c r="P1524" s="340"/>
      <c r="U1524" s="340"/>
      <c r="V1524" s="340"/>
      <c r="Z1524" s="340"/>
      <c r="AE1524" s="340"/>
      <c r="AI1524" s="340"/>
      <c r="AN1524" s="340"/>
      <c r="AO1524" s="340"/>
      <c r="AS1524" s="340"/>
      <c r="AX1524" s="340"/>
      <c r="BB1524" s="340"/>
      <c r="BD1524" s="339"/>
    </row>
    <row r="1525" spans="7:56" s="338" customFormat="1">
      <c r="G1525" s="340"/>
      <c r="L1525" s="340"/>
      <c r="P1525" s="340"/>
      <c r="U1525" s="340"/>
      <c r="V1525" s="340"/>
      <c r="Z1525" s="340"/>
      <c r="AE1525" s="340"/>
      <c r="AI1525" s="340"/>
      <c r="AN1525" s="340"/>
      <c r="AO1525" s="340"/>
      <c r="AS1525" s="340"/>
      <c r="AX1525" s="340"/>
      <c r="BB1525" s="340"/>
      <c r="BD1525" s="339"/>
    </row>
    <row r="1526" spans="7:56" s="338" customFormat="1">
      <c r="G1526" s="340"/>
      <c r="L1526" s="340"/>
      <c r="P1526" s="340"/>
      <c r="U1526" s="340"/>
      <c r="V1526" s="340"/>
      <c r="Z1526" s="340"/>
      <c r="AE1526" s="340"/>
      <c r="AI1526" s="340"/>
      <c r="AN1526" s="340"/>
      <c r="AO1526" s="340"/>
      <c r="AS1526" s="340"/>
      <c r="AX1526" s="340"/>
      <c r="BB1526" s="340"/>
      <c r="BD1526" s="339"/>
    </row>
    <row r="1527" spans="7:56" s="338" customFormat="1">
      <c r="G1527" s="340"/>
      <c r="L1527" s="340"/>
      <c r="P1527" s="340"/>
      <c r="U1527" s="340"/>
      <c r="V1527" s="340"/>
      <c r="Z1527" s="340"/>
      <c r="AE1527" s="340"/>
      <c r="AI1527" s="340"/>
      <c r="AN1527" s="340"/>
      <c r="AO1527" s="340"/>
      <c r="AS1527" s="340"/>
      <c r="AX1527" s="340"/>
      <c r="BB1527" s="340"/>
      <c r="BD1527" s="339"/>
    </row>
    <row r="1528" spans="7:56" s="338" customFormat="1">
      <c r="G1528" s="340"/>
      <c r="L1528" s="340"/>
      <c r="P1528" s="340"/>
      <c r="U1528" s="340"/>
      <c r="V1528" s="340"/>
      <c r="Z1528" s="340"/>
      <c r="AE1528" s="340"/>
      <c r="AI1528" s="340"/>
      <c r="AN1528" s="340"/>
      <c r="AO1528" s="340"/>
      <c r="AS1528" s="340"/>
      <c r="AX1528" s="340"/>
      <c r="BB1528" s="340"/>
      <c r="BD1528" s="339"/>
    </row>
    <row r="1529" spans="7:56" s="338" customFormat="1">
      <c r="G1529" s="340"/>
      <c r="L1529" s="340"/>
      <c r="P1529" s="340"/>
      <c r="U1529" s="340"/>
      <c r="V1529" s="340"/>
      <c r="Z1529" s="340"/>
      <c r="AE1529" s="340"/>
      <c r="AI1529" s="340"/>
      <c r="AN1529" s="340"/>
      <c r="AO1529" s="340"/>
      <c r="AS1529" s="340"/>
      <c r="AX1529" s="340"/>
      <c r="BB1529" s="340"/>
      <c r="BD1529" s="339"/>
    </row>
    <row r="1530" spans="7:56" s="338" customFormat="1">
      <c r="G1530" s="340"/>
      <c r="L1530" s="340"/>
      <c r="P1530" s="340"/>
      <c r="U1530" s="340"/>
      <c r="V1530" s="340"/>
      <c r="Z1530" s="340"/>
      <c r="AE1530" s="340"/>
      <c r="AI1530" s="340"/>
      <c r="AN1530" s="340"/>
      <c r="AO1530" s="340"/>
      <c r="AS1530" s="340"/>
      <c r="AX1530" s="340"/>
      <c r="BB1530" s="340"/>
      <c r="BD1530" s="339"/>
    </row>
    <row r="1531" spans="7:56" s="338" customFormat="1">
      <c r="G1531" s="340"/>
      <c r="L1531" s="340"/>
      <c r="P1531" s="340"/>
      <c r="U1531" s="340"/>
      <c r="V1531" s="340"/>
      <c r="Z1531" s="340"/>
      <c r="AE1531" s="340"/>
      <c r="AI1531" s="340"/>
      <c r="AN1531" s="340"/>
      <c r="AO1531" s="340"/>
      <c r="AS1531" s="340"/>
      <c r="AX1531" s="340"/>
      <c r="BB1531" s="340"/>
      <c r="BD1531" s="339"/>
    </row>
    <row r="1532" spans="7:56" s="338" customFormat="1">
      <c r="G1532" s="340"/>
      <c r="L1532" s="340"/>
      <c r="P1532" s="340"/>
      <c r="U1532" s="340"/>
      <c r="V1532" s="340"/>
      <c r="Z1532" s="340"/>
      <c r="AE1532" s="340"/>
      <c r="AI1532" s="340"/>
      <c r="AN1532" s="340"/>
      <c r="AO1532" s="340"/>
      <c r="AS1532" s="340"/>
      <c r="AX1532" s="340"/>
      <c r="BB1532" s="340"/>
      <c r="BD1532" s="339"/>
    </row>
    <row r="1533" spans="7:56" s="338" customFormat="1">
      <c r="G1533" s="340"/>
      <c r="L1533" s="340"/>
      <c r="P1533" s="340"/>
      <c r="U1533" s="340"/>
      <c r="V1533" s="340"/>
      <c r="Z1533" s="340"/>
      <c r="AE1533" s="340"/>
      <c r="AI1533" s="340"/>
      <c r="AN1533" s="340"/>
      <c r="AO1533" s="340"/>
      <c r="AS1533" s="340"/>
      <c r="AX1533" s="340"/>
      <c r="BB1533" s="340"/>
      <c r="BD1533" s="339"/>
    </row>
    <row r="1534" spans="7:56" s="338" customFormat="1">
      <c r="G1534" s="340"/>
      <c r="L1534" s="340"/>
      <c r="P1534" s="340"/>
      <c r="U1534" s="340"/>
      <c r="V1534" s="340"/>
      <c r="Z1534" s="340"/>
      <c r="AE1534" s="340"/>
      <c r="AI1534" s="340"/>
      <c r="AN1534" s="340"/>
      <c r="AO1534" s="340"/>
      <c r="AS1534" s="340"/>
      <c r="AX1534" s="340"/>
      <c r="BB1534" s="340"/>
      <c r="BD1534" s="339"/>
    </row>
    <row r="1535" spans="7:56" s="338" customFormat="1">
      <c r="G1535" s="340"/>
      <c r="L1535" s="340"/>
      <c r="P1535" s="340"/>
      <c r="U1535" s="340"/>
      <c r="V1535" s="340"/>
      <c r="Z1535" s="340"/>
      <c r="AE1535" s="340"/>
      <c r="AI1535" s="340"/>
      <c r="AN1535" s="340"/>
      <c r="AO1535" s="340"/>
      <c r="AS1535" s="340"/>
      <c r="AX1535" s="340"/>
      <c r="BB1535" s="340"/>
      <c r="BD1535" s="339"/>
    </row>
    <row r="1536" spans="7:56" s="338" customFormat="1">
      <c r="G1536" s="340"/>
      <c r="L1536" s="340"/>
      <c r="P1536" s="340"/>
      <c r="U1536" s="340"/>
      <c r="V1536" s="340"/>
      <c r="Z1536" s="340"/>
      <c r="AE1536" s="340"/>
      <c r="AI1536" s="340"/>
      <c r="AN1536" s="340"/>
      <c r="AO1536" s="340"/>
      <c r="AS1536" s="340"/>
      <c r="AX1536" s="340"/>
      <c r="BB1536" s="340"/>
      <c r="BD1536" s="339"/>
    </row>
    <row r="1537" spans="7:56" s="338" customFormat="1">
      <c r="G1537" s="340"/>
      <c r="L1537" s="340"/>
      <c r="P1537" s="340"/>
      <c r="U1537" s="340"/>
      <c r="V1537" s="340"/>
      <c r="Z1537" s="340"/>
      <c r="AE1537" s="340"/>
      <c r="AI1537" s="340"/>
      <c r="AN1537" s="340"/>
      <c r="AO1537" s="340"/>
      <c r="AS1537" s="340"/>
      <c r="AX1537" s="340"/>
      <c r="BB1537" s="340"/>
      <c r="BD1537" s="339"/>
    </row>
    <row r="1538" spans="7:56" s="338" customFormat="1">
      <c r="G1538" s="340"/>
      <c r="L1538" s="340"/>
      <c r="P1538" s="340"/>
      <c r="U1538" s="340"/>
      <c r="V1538" s="340"/>
      <c r="Z1538" s="340"/>
      <c r="AE1538" s="340"/>
      <c r="AI1538" s="340"/>
      <c r="AN1538" s="340"/>
      <c r="AO1538" s="340"/>
      <c r="AS1538" s="340"/>
      <c r="AX1538" s="340"/>
      <c r="BB1538" s="340"/>
      <c r="BD1538" s="339"/>
    </row>
    <row r="1539" spans="7:56" s="338" customFormat="1">
      <c r="G1539" s="340"/>
      <c r="L1539" s="340"/>
      <c r="P1539" s="340"/>
      <c r="U1539" s="340"/>
      <c r="V1539" s="340"/>
      <c r="Z1539" s="340"/>
      <c r="AE1539" s="340"/>
      <c r="AI1539" s="340"/>
      <c r="AN1539" s="340"/>
      <c r="AO1539" s="340"/>
      <c r="AS1539" s="340"/>
      <c r="AX1539" s="340"/>
      <c r="BB1539" s="340"/>
      <c r="BD1539" s="339"/>
    </row>
    <row r="1540" spans="7:56" s="338" customFormat="1">
      <c r="G1540" s="340"/>
      <c r="L1540" s="340"/>
      <c r="P1540" s="340"/>
      <c r="U1540" s="340"/>
      <c r="V1540" s="340"/>
      <c r="Z1540" s="340"/>
      <c r="AE1540" s="340"/>
      <c r="AI1540" s="340"/>
      <c r="AN1540" s="340"/>
      <c r="AO1540" s="340"/>
      <c r="AS1540" s="340"/>
      <c r="AX1540" s="340"/>
      <c r="BB1540" s="340"/>
      <c r="BD1540" s="339"/>
    </row>
    <row r="1541" spans="7:56" s="338" customFormat="1">
      <c r="G1541" s="340"/>
      <c r="L1541" s="340"/>
      <c r="P1541" s="340"/>
      <c r="U1541" s="340"/>
      <c r="V1541" s="340"/>
      <c r="Z1541" s="340"/>
      <c r="AE1541" s="340"/>
      <c r="AI1541" s="340"/>
      <c r="AN1541" s="340"/>
      <c r="AO1541" s="340"/>
      <c r="AS1541" s="340"/>
      <c r="AX1541" s="340"/>
      <c r="BB1541" s="340"/>
      <c r="BD1541" s="339"/>
    </row>
    <row r="1542" spans="7:56" s="338" customFormat="1">
      <c r="G1542" s="340"/>
      <c r="L1542" s="340"/>
      <c r="P1542" s="340"/>
      <c r="U1542" s="340"/>
      <c r="V1542" s="340"/>
      <c r="Z1542" s="340"/>
      <c r="AE1542" s="340"/>
      <c r="AI1542" s="340"/>
      <c r="AN1542" s="340"/>
      <c r="AO1542" s="340"/>
      <c r="AS1542" s="340"/>
      <c r="AX1542" s="340"/>
      <c r="BB1542" s="340"/>
      <c r="BD1542" s="339"/>
    </row>
    <row r="1543" spans="7:56" s="338" customFormat="1">
      <c r="G1543" s="340"/>
      <c r="L1543" s="340"/>
      <c r="P1543" s="340"/>
      <c r="U1543" s="340"/>
      <c r="V1543" s="340"/>
      <c r="Z1543" s="340"/>
      <c r="AE1543" s="340"/>
      <c r="AI1543" s="340"/>
      <c r="AN1543" s="340"/>
      <c r="AO1543" s="340"/>
      <c r="AS1543" s="340"/>
      <c r="AX1543" s="340"/>
      <c r="BB1543" s="340"/>
      <c r="BD1543" s="339"/>
    </row>
    <row r="1544" spans="7:56" s="338" customFormat="1">
      <c r="G1544" s="340"/>
      <c r="L1544" s="340"/>
      <c r="P1544" s="340"/>
      <c r="U1544" s="340"/>
      <c r="V1544" s="340"/>
      <c r="Z1544" s="340"/>
      <c r="AE1544" s="340"/>
      <c r="AI1544" s="340"/>
      <c r="AN1544" s="340"/>
      <c r="AO1544" s="340"/>
      <c r="AS1544" s="340"/>
      <c r="AX1544" s="340"/>
      <c r="BB1544" s="340"/>
      <c r="BD1544" s="339"/>
    </row>
    <row r="1545" spans="7:56" s="338" customFormat="1">
      <c r="G1545" s="340"/>
      <c r="L1545" s="340"/>
      <c r="P1545" s="340"/>
      <c r="U1545" s="340"/>
      <c r="V1545" s="340"/>
      <c r="Z1545" s="340"/>
      <c r="AE1545" s="340"/>
      <c r="AI1545" s="340"/>
      <c r="AN1545" s="340"/>
      <c r="AO1545" s="340"/>
      <c r="AS1545" s="340"/>
      <c r="AX1545" s="340"/>
      <c r="BB1545" s="340"/>
      <c r="BD1545" s="339"/>
    </row>
    <row r="1546" spans="7:56" s="338" customFormat="1">
      <c r="G1546" s="340"/>
      <c r="L1546" s="340"/>
      <c r="P1546" s="340"/>
      <c r="U1546" s="340"/>
      <c r="V1546" s="340"/>
      <c r="Z1546" s="340"/>
      <c r="AE1546" s="340"/>
      <c r="AI1546" s="340"/>
      <c r="AN1546" s="340"/>
      <c r="AO1546" s="340"/>
      <c r="AS1546" s="340"/>
      <c r="AX1546" s="340"/>
      <c r="BB1546" s="340"/>
      <c r="BD1546" s="339"/>
    </row>
    <row r="1547" spans="7:56" s="338" customFormat="1">
      <c r="G1547" s="340"/>
      <c r="L1547" s="340"/>
      <c r="P1547" s="340"/>
      <c r="U1547" s="340"/>
      <c r="V1547" s="340"/>
      <c r="Z1547" s="340"/>
      <c r="AE1547" s="340"/>
      <c r="AI1547" s="340"/>
      <c r="AN1547" s="340"/>
      <c r="AO1547" s="340"/>
      <c r="AS1547" s="340"/>
      <c r="AX1547" s="340"/>
      <c r="BB1547" s="340"/>
      <c r="BD1547" s="339"/>
    </row>
    <row r="1548" spans="7:56" s="338" customFormat="1">
      <c r="G1548" s="340"/>
      <c r="L1548" s="340"/>
      <c r="P1548" s="340"/>
      <c r="U1548" s="340"/>
      <c r="V1548" s="340"/>
      <c r="Z1548" s="340"/>
      <c r="AE1548" s="340"/>
      <c r="AI1548" s="340"/>
      <c r="AN1548" s="340"/>
      <c r="AO1548" s="340"/>
      <c r="AS1548" s="340"/>
      <c r="AX1548" s="340"/>
      <c r="BB1548" s="340"/>
      <c r="BD1548" s="339"/>
    </row>
    <row r="1549" spans="7:56" s="338" customFormat="1">
      <c r="G1549" s="340"/>
      <c r="L1549" s="340"/>
      <c r="P1549" s="340"/>
      <c r="U1549" s="340"/>
      <c r="V1549" s="340"/>
      <c r="Z1549" s="340"/>
      <c r="AE1549" s="340"/>
      <c r="AI1549" s="340"/>
      <c r="AN1549" s="340"/>
      <c r="AO1549" s="340"/>
      <c r="AS1549" s="340"/>
      <c r="AX1549" s="340"/>
      <c r="BB1549" s="340"/>
      <c r="BD1549" s="339"/>
    </row>
    <row r="1550" spans="7:56" s="338" customFormat="1">
      <c r="G1550" s="340"/>
      <c r="L1550" s="340"/>
      <c r="P1550" s="340"/>
      <c r="U1550" s="340"/>
      <c r="V1550" s="340"/>
      <c r="Z1550" s="340"/>
      <c r="AE1550" s="340"/>
      <c r="AI1550" s="340"/>
      <c r="AN1550" s="340"/>
      <c r="AO1550" s="340"/>
      <c r="AS1550" s="340"/>
      <c r="AX1550" s="340"/>
      <c r="BB1550" s="340"/>
      <c r="BD1550" s="339"/>
    </row>
    <row r="1551" spans="7:56" s="338" customFormat="1">
      <c r="G1551" s="340"/>
      <c r="L1551" s="340"/>
      <c r="P1551" s="340"/>
      <c r="U1551" s="340"/>
      <c r="V1551" s="340"/>
      <c r="Z1551" s="340"/>
      <c r="AE1551" s="340"/>
      <c r="AI1551" s="340"/>
      <c r="AN1551" s="340"/>
      <c r="AO1551" s="340"/>
      <c r="AS1551" s="340"/>
      <c r="AX1551" s="340"/>
      <c r="BB1551" s="340"/>
      <c r="BD1551" s="339"/>
    </row>
    <row r="1552" spans="7:56" s="338" customFormat="1">
      <c r="G1552" s="340"/>
      <c r="L1552" s="340"/>
      <c r="P1552" s="340"/>
      <c r="U1552" s="340"/>
      <c r="V1552" s="340"/>
      <c r="Z1552" s="340"/>
      <c r="AE1552" s="340"/>
      <c r="AI1552" s="340"/>
      <c r="AN1552" s="340"/>
      <c r="AO1552" s="340"/>
      <c r="AS1552" s="340"/>
      <c r="AX1552" s="340"/>
      <c r="BB1552" s="340"/>
      <c r="BD1552" s="339"/>
    </row>
    <row r="1553" spans="7:56" s="338" customFormat="1">
      <c r="G1553" s="340"/>
      <c r="L1553" s="340"/>
      <c r="P1553" s="340"/>
      <c r="U1553" s="340"/>
      <c r="V1553" s="340"/>
      <c r="Z1553" s="340"/>
      <c r="AE1553" s="340"/>
      <c r="AI1553" s="340"/>
      <c r="AN1553" s="340"/>
      <c r="AO1553" s="340"/>
      <c r="AS1553" s="340"/>
      <c r="AX1553" s="340"/>
      <c r="BB1553" s="340"/>
      <c r="BD1553" s="339"/>
    </row>
    <row r="1554" spans="7:56" s="338" customFormat="1">
      <c r="G1554" s="340"/>
      <c r="L1554" s="340"/>
      <c r="P1554" s="340"/>
      <c r="U1554" s="340"/>
      <c r="V1554" s="340"/>
      <c r="Z1554" s="340"/>
      <c r="AE1554" s="340"/>
      <c r="AI1554" s="340"/>
      <c r="AN1554" s="340"/>
      <c r="AO1554" s="340"/>
      <c r="AS1554" s="340"/>
      <c r="AX1554" s="340"/>
      <c r="BB1554" s="340"/>
      <c r="BD1554" s="339"/>
    </row>
    <row r="1555" spans="7:56" s="338" customFormat="1">
      <c r="G1555" s="340"/>
      <c r="L1555" s="340"/>
      <c r="P1555" s="340"/>
      <c r="U1555" s="340"/>
      <c r="V1555" s="340"/>
      <c r="Z1555" s="340"/>
      <c r="AE1555" s="340"/>
      <c r="AI1555" s="340"/>
      <c r="AN1555" s="340"/>
      <c r="AO1555" s="340"/>
      <c r="AS1555" s="340"/>
      <c r="AX1555" s="340"/>
      <c r="BB1555" s="340"/>
      <c r="BD1555" s="339"/>
    </row>
    <row r="1556" spans="7:56" s="338" customFormat="1">
      <c r="G1556" s="340"/>
      <c r="L1556" s="340"/>
      <c r="P1556" s="340"/>
      <c r="U1556" s="340"/>
      <c r="V1556" s="340"/>
      <c r="Z1556" s="340"/>
      <c r="AE1556" s="340"/>
      <c r="AI1556" s="340"/>
      <c r="AN1556" s="340"/>
      <c r="AO1556" s="340"/>
      <c r="AS1556" s="340"/>
      <c r="AX1556" s="340"/>
      <c r="BB1556" s="340"/>
      <c r="BD1556" s="339"/>
    </row>
    <row r="1557" spans="7:56" s="338" customFormat="1">
      <c r="G1557" s="340"/>
      <c r="L1557" s="340"/>
      <c r="P1557" s="340"/>
      <c r="U1557" s="340"/>
      <c r="V1557" s="340"/>
      <c r="Z1557" s="340"/>
      <c r="AE1557" s="340"/>
      <c r="AI1557" s="340"/>
      <c r="AN1557" s="340"/>
      <c r="AO1557" s="340"/>
      <c r="AS1557" s="340"/>
      <c r="AX1557" s="340"/>
      <c r="BB1557" s="340"/>
      <c r="BD1557" s="339"/>
    </row>
    <row r="1558" spans="7:56" s="338" customFormat="1">
      <c r="G1558" s="340"/>
      <c r="L1558" s="340"/>
      <c r="P1558" s="340"/>
      <c r="U1558" s="340"/>
      <c r="V1558" s="340"/>
      <c r="Z1558" s="340"/>
      <c r="AE1558" s="340"/>
      <c r="AI1558" s="340"/>
      <c r="AN1558" s="340"/>
      <c r="AO1558" s="340"/>
      <c r="AS1558" s="340"/>
      <c r="AX1558" s="340"/>
      <c r="BB1558" s="340"/>
      <c r="BD1558" s="339"/>
    </row>
    <row r="1559" spans="7:56" s="338" customFormat="1">
      <c r="G1559" s="340"/>
      <c r="L1559" s="340"/>
      <c r="P1559" s="340"/>
      <c r="U1559" s="340"/>
      <c r="V1559" s="340"/>
      <c r="Z1559" s="340"/>
      <c r="AE1559" s="340"/>
      <c r="AI1559" s="340"/>
      <c r="AN1559" s="340"/>
      <c r="AO1559" s="340"/>
      <c r="AS1559" s="340"/>
      <c r="AX1559" s="340"/>
      <c r="BB1559" s="340"/>
      <c r="BD1559" s="339"/>
    </row>
    <row r="1560" spans="7:56" s="338" customFormat="1">
      <c r="G1560" s="340"/>
      <c r="L1560" s="340"/>
      <c r="P1560" s="340"/>
      <c r="U1560" s="340"/>
      <c r="V1560" s="340"/>
      <c r="Z1560" s="340"/>
      <c r="AE1560" s="340"/>
      <c r="AI1560" s="340"/>
      <c r="AN1560" s="340"/>
      <c r="AO1560" s="340"/>
      <c r="AS1560" s="340"/>
      <c r="AX1560" s="340"/>
      <c r="BB1560" s="340"/>
      <c r="BD1560" s="339"/>
    </row>
    <row r="1561" spans="7:56" s="338" customFormat="1">
      <c r="G1561" s="340"/>
      <c r="L1561" s="340"/>
      <c r="P1561" s="340"/>
      <c r="U1561" s="340"/>
      <c r="V1561" s="340"/>
      <c r="Z1561" s="340"/>
      <c r="AE1561" s="340"/>
      <c r="AI1561" s="340"/>
      <c r="AN1561" s="340"/>
      <c r="AO1561" s="340"/>
      <c r="AS1561" s="340"/>
      <c r="AX1561" s="340"/>
      <c r="BB1561" s="340"/>
      <c r="BD1561" s="339"/>
    </row>
    <row r="1562" spans="7:56" s="338" customFormat="1">
      <c r="G1562" s="340"/>
      <c r="L1562" s="340"/>
      <c r="P1562" s="340"/>
      <c r="U1562" s="340"/>
      <c r="V1562" s="340"/>
      <c r="Z1562" s="340"/>
      <c r="AE1562" s="340"/>
      <c r="AI1562" s="340"/>
      <c r="AN1562" s="340"/>
      <c r="AO1562" s="340"/>
      <c r="AS1562" s="340"/>
      <c r="AX1562" s="340"/>
      <c r="BB1562" s="340"/>
      <c r="BD1562" s="339"/>
    </row>
    <row r="1563" spans="7:56" s="338" customFormat="1">
      <c r="G1563" s="340"/>
      <c r="L1563" s="340"/>
      <c r="P1563" s="340"/>
      <c r="U1563" s="340"/>
      <c r="V1563" s="340"/>
      <c r="Z1563" s="340"/>
      <c r="AE1563" s="340"/>
      <c r="AI1563" s="340"/>
      <c r="AN1563" s="340"/>
      <c r="AO1563" s="340"/>
      <c r="AS1563" s="340"/>
      <c r="AX1563" s="340"/>
      <c r="BB1563" s="340"/>
      <c r="BD1563" s="339"/>
    </row>
    <row r="1564" spans="7:56" s="338" customFormat="1">
      <c r="G1564" s="340"/>
      <c r="L1564" s="340"/>
      <c r="P1564" s="340"/>
      <c r="U1564" s="340"/>
      <c r="V1564" s="340"/>
      <c r="Z1564" s="340"/>
      <c r="AE1564" s="340"/>
      <c r="AI1564" s="340"/>
      <c r="AN1564" s="340"/>
      <c r="AO1564" s="340"/>
      <c r="AS1564" s="340"/>
      <c r="AX1564" s="340"/>
      <c r="BB1564" s="340"/>
      <c r="BD1564" s="339"/>
    </row>
    <row r="1565" spans="7:56" s="338" customFormat="1">
      <c r="G1565" s="340"/>
      <c r="L1565" s="340"/>
      <c r="P1565" s="340"/>
      <c r="U1565" s="340"/>
      <c r="V1565" s="340"/>
      <c r="Z1565" s="340"/>
      <c r="AE1565" s="340"/>
      <c r="AI1565" s="340"/>
      <c r="AN1565" s="340"/>
      <c r="AO1565" s="340"/>
      <c r="AS1565" s="340"/>
      <c r="AX1565" s="340"/>
      <c r="BB1565" s="340"/>
      <c r="BD1565" s="339"/>
    </row>
    <row r="1566" spans="7:56" s="338" customFormat="1">
      <c r="G1566" s="340"/>
      <c r="L1566" s="340"/>
      <c r="P1566" s="340"/>
      <c r="U1566" s="340"/>
      <c r="V1566" s="340"/>
      <c r="Z1566" s="340"/>
      <c r="AE1566" s="340"/>
      <c r="AI1566" s="340"/>
      <c r="AN1566" s="340"/>
      <c r="AO1566" s="340"/>
      <c r="AS1566" s="340"/>
      <c r="AX1566" s="340"/>
      <c r="BB1566" s="340"/>
      <c r="BD1566" s="339"/>
    </row>
    <row r="1567" spans="7:56" s="338" customFormat="1">
      <c r="G1567" s="340"/>
      <c r="L1567" s="340"/>
      <c r="P1567" s="340"/>
      <c r="U1567" s="340"/>
      <c r="V1567" s="340"/>
      <c r="Z1567" s="340"/>
      <c r="AE1567" s="340"/>
      <c r="AI1567" s="340"/>
      <c r="AN1567" s="340"/>
      <c r="AO1567" s="340"/>
      <c r="AS1567" s="340"/>
      <c r="AX1567" s="340"/>
      <c r="BB1567" s="340"/>
      <c r="BD1567" s="339"/>
    </row>
    <row r="1568" spans="7:56" s="338" customFormat="1">
      <c r="G1568" s="340"/>
      <c r="L1568" s="340"/>
      <c r="P1568" s="340"/>
      <c r="U1568" s="340"/>
      <c r="V1568" s="340"/>
      <c r="Z1568" s="340"/>
      <c r="AE1568" s="340"/>
      <c r="AI1568" s="340"/>
      <c r="AN1568" s="340"/>
      <c r="AO1568" s="340"/>
      <c r="AS1568" s="340"/>
      <c r="AX1568" s="340"/>
      <c r="BB1568" s="340"/>
      <c r="BD1568" s="339"/>
    </row>
    <row r="1569" spans="7:56" s="338" customFormat="1">
      <c r="G1569" s="340"/>
      <c r="L1569" s="340"/>
      <c r="P1569" s="340"/>
      <c r="U1569" s="340"/>
      <c r="V1569" s="340"/>
      <c r="Z1569" s="340"/>
      <c r="AE1569" s="340"/>
      <c r="AI1569" s="340"/>
      <c r="AN1569" s="340"/>
      <c r="AO1569" s="340"/>
      <c r="AS1569" s="340"/>
      <c r="AX1569" s="340"/>
      <c r="BB1569" s="340"/>
      <c r="BD1569" s="339"/>
    </row>
    <row r="1570" spans="7:56" s="338" customFormat="1">
      <c r="G1570" s="340"/>
      <c r="L1570" s="340"/>
      <c r="P1570" s="340"/>
      <c r="U1570" s="340"/>
      <c r="V1570" s="340"/>
      <c r="Z1570" s="340"/>
      <c r="AE1570" s="340"/>
      <c r="AI1570" s="340"/>
      <c r="AN1570" s="340"/>
      <c r="AO1570" s="340"/>
      <c r="AS1570" s="340"/>
      <c r="AX1570" s="340"/>
      <c r="BB1570" s="340"/>
      <c r="BD1570" s="339"/>
    </row>
    <row r="1571" spans="7:56" s="338" customFormat="1">
      <c r="G1571" s="340"/>
      <c r="L1571" s="340"/>
      <c r="P1571" s="340"/>
      <c r="U1571" s="340"/>
      <c r="V1571" s="340"/>
      <c r="Z1571" s="340"/>
      <c r="AE1571" s="340"/>
      <c r="AI1571" s="340"/>
      <c r="AN1571" s="340"/>
      <c r="AO1571" s="340"/>
      <c r="AS1571" s="340"/>
      <c r="AX1571" s="340"/>
      <c r="BB1571" s="340"/>
      <c r="BD1571" s="339"/>
    </row>
    <row r="1572" spans="7:56" s="338" customFormat="1">
      <c r="G1572" s="340"/>
      <c r="L1572" s="340"/>
      <c r="P1572" s="340"/>
      <c r="U1572" s="340"/>
      <c r="V1572" s="340"/>
      <c r="Z1572" s="340"/>
      <c r="AE1572" s="340"/>
      <c r="AI1572" s="340"/>
      <c r="AN1572" s="340"/>
      <c r="AO1572" s="340"/>
      <c r="AS1572" s="340"/>
      <c r="AX1572" s="340"/>
      <c r="BB1572" s="340"/>
      <c r="BD1572" s="339"/>
    </row>
    <row r="1573" spans="7:56" s="338" customFormat="1">
      <c r="G1573" s="340"/>
      <c r="L1573" s="340"/>
      <c r="P1573" s="340"/>
      <c r="U1573" s="340"/>
      <c r="V1573" s="340"/>
      <c r="Z1573" s="340"/>
      <c r="AE1573" s="340"/>
      <c r="AI1573" s="340"/>
      <c r="AN1573" s="340"/>
      <c r="AO1573" s="340"/>
      <c r="AS1573" s="340"/>
      <c r="AX1573" s="340"/>
      <c r="BB1573" s="340"/>
      <c r="BD1573" s="339"/>
    </row>
    <row r="1574" spans="7:56" s="338" customFormat="1">
      <c r="G1574" s="340"/>
      <c r="L1574" s="340"/>
      <c r="P1574" s="340"/>
      <c r="U1574" s="340"/>
      <c r="V1574" s="340"/>
      <c r="Z1574" s="340"/>
      <c r="AE1574" s="340"/>
      <c r="AI1574" s="340"/>
      <c r="AN1574" s="340"/>
      <c r="AO1574" s="340"/>
      <c r="AS1574" s="340"/>
      <c r="AX1574" s="340"/>
      <c r="BB1574" s="340"/>
      <c r="BD1574" s="339"/>
    </row>
    <row r="1575" spans="7:56" s="338" customFormat="1">
      <c r="G1575" s="340"/>
      <c r="L1575" s="340"/>
      <c r="P1575" s="340"/>
      <c r="U1575" s="340"/>
      <c r="V1575" s="340"/>
      <c r="Z1575" s="340"/>
      <c r="AE1575" s="340"/>
      <c r="AI1575" s="340"/>
      <c r="AN1575" s="340"/>
      <c r="AO1575" s="340"/>
      <c r="AS1575" s="340"/>
      <c r="AX1575" s="340"/>
      <c r="BB1575" s="340"/>
      <c r="BD1575" s="339"/>
    </row>
    <row r="1576" spans="7:56" s="338" customFormat="1">
      <c r="G1576" s="340"/>
      <c r="L1576" s="340"/>
      <c r="P1576" s="340"/>
      <c r="U1576" s="340"/>
      <c r="V1576" s="340"/>
      <c r="Z1576" s="340"/>
      <c r="AE1576" s="340"/>
      <c r="AI1576" s="340"/>
      <c r="AN1576" s="340"/>
      <c r="AO1576" s="340"/>
      <c r="AS1576" s="340"/>
      <c r="AX1576" s="340"/>
      <c r="BB1576" s="340"/>
      <c r="BD1576" s="339"/>
    </row>
    <row r="1577" spans="7:56" s="338" customFormat="1">
      <c r="G1577" s="340"/>
      <c r="L1577" s="340"/>
      <c r="P1577" s="340"/>
      <c r="U1577" s="340"/>
      <c r="V1577" s="340"/>
      <c r="Z1577" s="340"/>
      <c r="AE1577" s="340"/>
      <c r="AI1577" s="340"/>
      <c r="AN1577" s="340"/>
      <c r="AO1577" s="340"/>
      <c r="AS1577" s="340"/>
      <c r="AX1577" s="340"/>
      <c r="BB1577" s="340"/>
      <c r="BD1577" s="339"/>
    </row>
    <row r="1578" spans="7:56" s="338" customFormat="1">
      <c r="G1578" s="340"/>
      <c r="L1578" s="340"/>
      <c r="P1578" s="340"/>
      <c r="U1578" s="340"/>
      <c r="V1578" s="340"/>
      <c r="Z1578" s="340"/>
      <c r="AE1578" s="340"/>
      <c r="AI1578" s="340"/>
      <c r="AN1578" s="340"/>
      <c r="AO1578" s="340"/>
      <c r="AS1578" s="340"/>
      <c r="AX1578" s="340"/>
      <c r="BB1578" s="340"/>
      <c r="BD1578" s="339"/>
    </row>
    <row r="1579" spans="7:56" s="338" customFormat="1">
      <c r="G1579" s="340"/>
      <c r="L1579" s="340"/>
      <c r="P1579" s="340"/>
      <c r="U1579" s="340"/>
      <c r="V1579" s="340"/>
      <c r="Z1579" s="340"/>
      <c r="AE1579" s="340"/>
      <c r="AI1579" s="340"/>
      <c r="AN1579" s="340"/>
      <c r="AO1579" s="340"/>
      <c r="AS1579" s="340"/>
      <c r="AX1579" s="340"/>
      <c r="BB1579" s="340"/>
      <c r="BD1579" s="339"/>
    </row>
    <row r="1580" spans="7:56" s="338" customFormat="1">
      <c r="G1580" s="340"/>
      <c r="L1580" s="340"/>
      <c r="P1580" s="340"/>
      <c r="U1580" s="340"/>
      <c r="V1580" s="340"/>
      <c r="Z1580" s="340"/>
      <c r="AE1580" s="340"/>
      <c r="AI1580" s="340"/>
      <c r="AN1580" s="340"/>
      <c r="AO1580" s="340"/>
      <c r="AS1580" s="340"/>
      <c r="AX1580" s="340"/>
      <c r="BB1580" s="340"/>
      <c r="BD1580" s="339"/>
    </row>
    <row r="1581" spans="7:56" s="338" customFormat="1">
      <c r="G1581" s="340"/>
      <c r="L1581" s="340"/>
      <c r="P1581" s="340"/>
      <c r="U1581" s="340"/>
      <c r="V1581" s="340"/>
      <c r="Z1581" s="340"/>
      <c r="AE1581" s="340"/>
      <c r="AI1581" s="340"/>
      <c r="AN1581" s="340"/>
      <c r="AO1581" s="340"/>
      <c r="AS1581" s="340"/>
      <c r="AX1581" s="340"/>
      <c r="BB1581" s="340"/>
      <c r="BD1581" s="339"/>
    </row>
    <row r="1582" spans="7:56" s="338" customFormat="1">
      <c r="G1582" s="340"/>
      <c r="L1582" s="340"/>
      <c r="P1582" s="340"/>
      <c r="U1582" s="340"/>
      <c r="V1582" s="340"/>
      <c r="Z1582" s="340"/>
      <c r="AE1582" s="340"/>
      <c r="AI1582" s="340"/>
      <c r="AN1582" s="340"/>
      <c r="AO1582" s="340"/>
      <c r="AS1582" s="340"/>
      <c r="AX1582" s="340"/>
      <c r="BB1582" s="340"/>
      <c r="BD1582" s="339"/>
    </row>
    <row r="1583" spans="7:56" s="338" customFormat="1">
      <c r="G1583" s="340"/>
      <c r="L1583" s="340"/>
      <c r="P1583" s="340"/>
      <c r="U1583" s="340"/>
      <c r="V1583" s="340"/>
      <c r="Z1583" s="340"/>
      <c r="AE1583" s="340"/>
      <c r="AI1583" s="340"/>
      <c r="AN1583" s="340"/>
      <c r="AO1583" s="340"/>
      <c r="AS1583" s="340"/>
      <c r="AX1583" s="340"/>
      <c r="BB1583" s="340"/>
      <c r="BD1583" s="339"/>
    </row>
    <row r="1584" spans="7:56" s="338" customFormat="1">
      <c r="G1584" s="340"/>
      <c r="L1584" s="340"/>
      <c r="P1584" s="340"/>
      <c r="U1584" s="340"/>
      <c r="V1584" s="340"/>
      <c r="Z1584" s="340"/>
      <c r="AE1584" s="340"/>
      <c r="AI1584" s="340"/>
      <c r="AN1584" s="340"/>
      <c r="AO1584" s="340"/>
      <c r="AS1584" s="340"/>
      <c r="AX1584" s="340"/>
      <c r="BB1584" s="340"/>
      <c r="BD1584" s="339"/>
    </row>
    <row r="1585" spans="7:56" s="338" customFormat="1">
      <c r="G1585" s="340"/>
      <c r="L1585" s="340"/>
      <c r="P1585" s="340"/>
      <c r="U1585" s="340"/>
      <c r="V1585" s="340"/>
      <c r="Z1585" s="340"/>
      <c r="AE1585" s="340"/>
      <c r="AI1585" s="340"/>
      <c r="AN1585" s="340"/>
      <c r="AO1585" s="340"/>
      <c r="AS1585" s="340"/>
      <c r="AX1585" s="340"/>
      <c r="BB1585" s="340"/>
      <c r="BD1585" s="339"/>
    </row>
    <row r="1586" spans="7:56" s="338" customFormat="1">
      <c r="G1586" s="340"/>
      <c r="L1586" s="340"/>
      <c r="P1586" s="340"/>
      <c r="U1586" s="340"/>
      <c r="V1586" s="340"/>
      <c r="Z1586" s="340"/>
      <c r="AE1586" s="340"/>
      <c r="AI1586" s="340"/>
      <c r="AN1586" s="340"/>
      <c r="AO1586" s="340"/>
      <c r="AS1586" s="340"/>
      <c r="AX1586" s="340"/>
      <c r="BB1586" s="340"/>
      <c r="BD1586" s="339"/>
    </row>
    <row r="1587" spans="7:56" s="338" customFormat="1">
      <c r="G1587" s="340"/>
      <c r="L1587" s="340"/>
      <c r="P1587" s="340"/>
      <c r="U1587" s="340"/>
      <c r="V1587" s="340"/>
      <c r="Z1587" s="340"/>
      <c r="AE1587" s="340"/>
      <c r="AI1587" s="340"/>
      <c r="AN1587" s="340"/>
      <c r="AO1587" s="340"/>
      <c r="AS1587" s="340"/>
      <c r="AX1587" s="340"/>
      <c r="BB1587" s="340"/>
      <c r="BD1587" s="339"/>
    </row>
    <row r="1588" spans="7:56" s="338" customFormat="1">
      <c r="G1588" s="340"/>
      <c r="L1588" s="340"/>
      <c r="P1588" s="340"/>
      <c r="U1588" s="340"/>
      <c r="V1588" s="340"/>
      <c r="Z1588" s="340"/>
      <c r="AE1588" s="340"/>
      <c r="AI1588" s="340"/>
      <c r="AN1588" s="340"/>
      <c r="AO1588" s="340"/>
      <c r="AS1588" s="340"/>
      <c r="AX1588" s="340"/>
      <c r="BB1588" s="340"/>
      <c r="BD1588" s="339"/>
    </row>
    <row r="1589" spans="7:56" s="338" customFormat="1">
      <c r="G1589" s="340"/>
      <c r="L1589" s="340"/>
      <c r="P1589" s="340"/>
      <c r="U1589" s="340"/>
      <c r="V1589" s="340"/>
      <c r="Z1589" s="340"/>
      <c r="AE1589" s="340"/>
      <c r="AI1589" s="340"/>
      <c r="AN1589" s="340"/>
      <c r="AO1589" s="340"/>
      <c r="AS1589" s="340"/>
      <c r="AX1589" s="340"/>
      <c r="BB1589" s="340"/>
      <c r="BD1589" s="339"/>
    </row>
    <row r="1590" spans="7:56" s="338" customFormat="1">
      <c r="G1590" s="340"/>
      <c r="L1590" s="340"/>
      <c r="P1590" s="340"/>
      <c r="U1590" s="340"/>
      <c r="V1590" s="340"/>
      <c r="Z1590" s="340"/>
      <c r="AE1590" s="340"/>
      <c r="AI1590" s="340"/>
      <c r="AN1590" s="340"/>
      <c r="AO1590" s="340"/>
      <c r="AS1590" s="340"/>
      <c r="AX1590" s="340"/>
      <c r="BB1590" s="340"/>
      <c r="BD1590" s="339"/>
    </row>
    <row r="1591" spans="7:56" s="338" customFormat="1">
      <c r="G1591" s="340"/>
      <c r="L1591" s="340"/>
      <c r="P1591" s="340"/>
      <c r="U1591" s="340"/>
      <c r="V1591" s="340"/>
      <c r="Z1591" s="340"/>
      <c r="AE1591" s="340"/>
      <c r="AI1591" s="340"/>
      <c r="AN1591" s="340"/>
      <c r="AO1591" s="340"/>
      <c r="AS1591" s="340"/>
      <c r="AX1591" s="340"/>
      <c r="BB1591" s="340"/>
      <c r="BD1591" s="339"/>
    </row>
    <row r="1592" spans="7:56" s="338" customFormat="1">
      <c r="G1592" s="340"/>
      <c r="L1592" s="340"/>
      <c r="P1592" s="340"/>
      <c r="U1592" s="340"/>
      <c r="V1592" s="340"/>
      <c r="Z1592" s="340"/>
      <c r="AE1592" s="340"/>
      <c r="AI1592" s="340"/>
      <c r="AN1592" s="340"/>
      <c r="AO1592" s="340"/>
      <c r="AS1592" s="340"/>
      <c r="AX1592" s="340"/>
      <c r="BB1592" s="340"/>
      <c r="BD1592" s="339"/>
    </row>
    <row r="1593" spans="7:56" s="338" customFormat="1">
      <c r="G1593" s="340"/>
      <c r="L1593" s="340"/>
      <c r="P1593" s="340"/>
      <c r="U1593" s="340"/>
      <c r="V1593" s="340"/>
      <c r="Z1593" s="340"/>
      <c r="AE1593" s="340"/>
      <c r="AI1593" s="340"/>
      <c r="AN1593" s="340"/>
      <c r="AO1593" s="340"/>
      <c r="AS1593" s="340"/>
      <c r="AX1593" s="340"/>
      <c r="BB1593" s="340"/>
      <c r="BD1593" s="339"/>
    </row>
    <row r="1594" spans="7:56" s="338" customFormat="1">
      <c r="G1594" s="340"/>
      <c r="L1594" s="340"/>
      <c r="P1594" s="340"/>
      <c r="U1594" s="340"/>
      <c r="V1594" s="340"/>
      <c r="Z1594" s="340"/>
      <c r="AE1594" s="340"/>
      <c r="AI1594" s="340"/>
      <c r="AN1594" s="340"/>
      <c r="AO1594" s="340"/>
      <c r="AS1594" s="340"/>
      <c r="AX1594" s="340"/>
      <c r="BB1594" s="340"/>
      <c r="BD1594" s="339"/>
    </row>
    <row r="1595" spans="7:56" s="338" customFormat="1">
      <c r="G1595" s="340"/>
      <c r="L1595" s="340"/>
      <c r="P1595" s="340"/>
      <c r="U1595" s="340"/>
      <c r="V1595" s="340"/>
      <c r="Z1595" s="340"/>
      <c r="AE1595" s="340"/>
      <c r="AI1595" s="340"/>
      <c r="AN1595" s="340"/>
      <c r="AO1595" s="340"/>
      <c r="AS1595" s="340"/>
      <c r="AX1595" s="340"/>
      <c r="BB1595" s="340"/>
      <c r="BD1595" s="339"/>
    </row>
    <row r="1596" spans="7:56" s="338" customFormat="1">
      <c r="G1596" s="340"/>
      <c r="L1596" s="340"/>
      <c r="P1596" s="340"/>
      <c r="U1596" s="340"/>
      <c r="V1596" s="340"/>
      <c r="Z1596" s="340"/>
      <c r="AE1596" s="340"/>
      <c r="AI1596" s="340"/>
      <c r="AN1596" s="340"/>
      <c r="AO1596" s="340"/>
      <c r="AS1596" s="340"/>
      <c r="AX1596" s="340"/>
      <c r="BB1596" s="340"/>
      <c r="BD1596" s="339"/>
    </row>
    <row r="1597" spans="7:56" s="338" customFormat="1">
      <c r="G1597" s="340"/>
      <c r="L1597" s="340"/>
      <c r="P1597" s="340"/>
      <c r="U1597" s="340"/>
      <c r="V1597" s="340"/>
      <c r="Z1597" s="340"/>
      <c r="AE1597" s="340"/>
      <c r="AI1597" s="340"/>
      <c r="AN1597" s="340"/>
      <c r="AO1597" s="340"/>
      <c r="AS1597" s="340"/>
      <c r="AX1597" s="340"/>
      <c r="BB1597" s="340"/>
      <c r="BD1597" s="339"/>
    </row>
    <row r="1598" spans="7:56" s="338" customFormat="1">
      <c r="G1598" s="340"/>
      <c r="L1598" s="340"/>
      <c r="P1598" s="340"/>
      <c r="U1598" s="340"/>
      <c r="V1598" s="340"/>
      <c r="Z1598" s="340"/>
      <c r="AE1598" s="340"/>
      <c r="AI1598" s="340"/>
      <c r="AN1598" s="340"/>
      <c r="AO1598" s="340"/>
      <c r="AS1598" s="340"/>
      <c r="AX1598" s="340"/>
      <c r="BB1598" s="340"/>
      <c r="BD1598" s="339"/>
    </row>
    <row r="1599" spans="7:56" s="338" customFormat="1">
      <c r="G1599" s="340"/>
      <c r="L1599" s="340"/>
      <c r="P1599" s="340"/>
      <c r="U1599" s="340"/>
      <c r="V1599" s="340"/>
      <c r="Z1599" s="340"/>
      <c r="AE1599" s="340"/>
      <c r="AI1599" s="340"/>
      <c r="AN1599" s="340"/>
      <c r="AO1599" s="340"/>
      <c r="AS1599" s="340"/>
      <c r="AX1599" s="340"/>
      <c r="BB1599" s="340"/>
      <c r="BD1599" s="339"/>
    </row>
    <row r="1600" spans="7:56" s="338" customFormat="1">
      <c r="G1600" s="340"/>
      <c r="L1600" s="340"/>
      <c r="P1600" s="340"/>
      <c r="U1600" s="340"/>
      <c r="V1600" s="340"/>
      <c r="Z1600" s="340"/>
      <c r="AE1600" s="340"/>
      <c r="AI1600" s="340"/>
      <c r="AN1600" s="340"/>
      <c r="AO1600" s="340"/>
      <c r="AS1600" s="340"/>
      <c r="AX1600" s="340"/>
      <c r="BB1600" s="340"/>
      <c r="BD1600" s="339"/>
    </row>
    <row r="1601" spans="7:56" s="338" customFormat="1">
      <c r="G1601" s="340"/>
      <c r="L1601" s="340"/>
      <c r="P1601" s="340"/>
      <c r="U1601" s="340"/>
      <c r="V1601" s="340"/>
      <c r="Z1601" s="340"/>
      <c r="AE1601" s="340"/>
      <c r="AI1601" s="340"/>
      <c r="AN1601" s="340"/>
      <c r="AO1601" s="340"/>
      <c r="AS1601" s="340"/>
      <c r="AX1601" s="340"/>
      <c r="BB1601" s="340"/>
      <c r="BD1601" s="339"/>
    </row>
    <row r="1602" spans="7:56" s="338" customFormat="1">
      <c r="G1602" s="340"/>
      <c r="L1602" s="340"/>
      <c r="P1602" s="340"/>
      <c r="U1602" s="340"/>
      <c r="V1602" s="340"/>
      <c r="Z1602" s="340"/>
      <c r="AE1602" s="340"/>
      <c r="AI1602" s="340"/>
      <c r="AN1602" s="340"/>
      <c r="AO1602" s="340"/>
      <c r="AS1602" s="340"/>
      <c r="AX1602" s="340"/>
      <c r="BB1602" s="340"/>
      <c r="BD1602" s="339"/>
    </row>
    <row r="1603" spans="7:56" s="338" customFormat="1">
      <c r="G1603" s="340"/>
      <c r="L1603" s="340"/>
      <c r="P1603" s="340"/>
      <c r="U1603" s="340"/>
      <c r="V1603" s="340"/>
      <c r="Z1603" s="340"/>
      <c r="AE1603" s="340"/>
      <c r="AI1603" s="340"/>
      <c r="AN1603" s="340"/>
      <c r="AO1603" s="340"/>
      <c r="AS1603" s="340"/>
      <c r="AX1603" s="340"/>
      <c r="BB1603" s="340"/>
      <c r="BD1603" s="339"/>
    </row>
    <row r="1604" spans="7:56" s="338" customFormat="1">
      <c r="G1604" s="340"/>
      <c r="L1604" s="340"/>
      <c r="P1604" s="340"/>
      <c r="U1604" s="340"/>
      <c r="V1604" s="340"/>
      <c r="Z1604" s="340"/>
      <c r="AE1604" s="340"/>
      <c r="AI1604" s="340"/>
      <c r="AN1604" s="340"/>
      <c r="AO1604" s="340"/>
      <c r="AS1604" s="340"/>
      <c r="AX1604" s="340"/>
      <c r="BB1604" s="340"/>
      <c r="BD1604" s="339"/>
    </row>
    <row r="1605" spans="7:56" s="338" customFormat="1">
      <c r="G1605" s="340"/>
      <c r="L1605" s="340"/>
      <c r="P1605" s="340"/>
      <c r="U1605" s="340"/>
      <c r="V1605" s="340"/>
      <c r="Z1605" s="340"/>
      <c r="AE1605" s="340"/>
      <c r="AI1605" s="340"/>
      <c r="AN1605" s="340"/>
      <c r="AO1605" s="340"/>
      <c r="AS1605" s="340"/>
      <c r="AX1605" s="340"/>
      <c r="BB1605" s="340"/>
      <c r="BD1605" s="339"/>
    </row>
    <row r="1606" spans="7:56" s="338" customFormat="1">
      <c r="G1606" s="340"/>
      <c r="L1606" s="340"/>
      <c r="P1606" s="340"/>
      <c r="U1606" s="340"/>
      <c r="V1606" s="340"/>
      <c r="Z1606" s="340"/>
      <c r="AE1606" s="340"/>
      <c r="AI1606" s="340"/>
      <c r="AN1606" s="340"/>
      <c r="AO1606" s="340"/>
      <c r="AS1606" s="340"/>
      <c r="AX1606" s="340"/>
      <c r="BB1606" s="340"/>
      <c r="BD1606" s="339"/>
    </row>
    <row r="1607" spans="7:56" s="338" customFormat="1">
      <c r="G1607" s="340"/>
      <c r="L1607" s="340"/>
      <c r="P1607" s="340"/>
      <c r="U1607" s="340"/>
      <c r="V1607" s="340"/>
      <c r="Z1607" s="340"/>
      <c r="AE1607" s="340"/>
      <c r="AI1607" s="340"/>
      <c r="AN1607" s="340"/>
      <c r="AO1607" s="340"/>
      <c r="AS1607" s="340"/>
      <c r="AX1607" s="340"/>
      <c r="BB1607" s="340"/>
      <c r="BD1607" s="339"/>
    </row>
    <row r="1608" spans="7:56" s="338" customFormat="1">
      <c r="G1608" s="340"/>
      <c r="L1608" s="340"/>
      <c r="P1608" s="340"/>
      <c r="U1608" s="340"/>
      <c r="V1608" s="340"/>
      <c r="Z1608" s="340"/>
      <c r="AE1608" s="340"/>
      <c r="AI1608" s="340"/>
      <c r="AN1608" s="340"/>
      <c r="AO1608" s="340"/>
      <c r="AS1608" s="340"/>
      <c r="AX1608" s="340"/>
      <c r="BB1608" s="340"/>
      <c r="BD1608" s="339"/>
    </row>
    <row r="1609" spans="7:56" s="338" customFormat="1">
      <c r="G1609" s="340"/>
      <c r="L1609" s="340"/>
      <c r="P1609" s="340"/>
      <c r="U1609" s="340"/>
      <c r="V1609" s="340"/>
      <c r="Z1609" s="340"/>
      <c r="AE1609" s="340"/>
      <c r="AI1609" s="340"/>
      <c r="AN1609" s="340"/>
      <c r="AO1609" s="340"/>
      <c r="AS1609" s="340"/>
      <c r="AX1609" s="340"/>
      <c r="BB1609" s="340"/>
      <c r="BD1609" s="339"/>
    </row>
    <row r="1610" spans="7:56" s="338" customFormat="1">
      <c r="G1610" s="340"/>
      <c r="L1610" s="340"/>
      <c r="P1610" s="340"/>
      <c r="U1610" s="340"/>
      <c r="V1610" s="340"/>
      <c r="Z1610" s="340"/>
      <c r="AE1610" s="340"/>
      <c r="AI1610" s="340"/>
      <c r="AN1610" s="340"/>
      <c r="AO1610" s="340"/>
      <c r="AS1610" s="340"/>
      <c r="AX1610" s="340"/>
      <c r="BB1610" s="340"/>
      <c r="BD1610" s="339"/>
    </row>
    <row r="1611" spans="7:56" s="338" customFormat="1">
      <c r="G1611" s="340"/>
      <c r="L1611" s="340"/>
      <c r="P1611" s="340"/>
      <c r="U1611" s="340"/>
      <c r="V1611" s="340"/>
      <c r="Z1611" s="340"/>
      <c r="AE1611" s="340"/>
      <c r="AI1611" s="340"/>
      <c r="AN1611" s="340"/>
      <c r="AO1611" s="340"/>
      <c r="AS1611" s="340"/>
      <c r="AX1611" s="340"/>
      <c r="BB1611" s="340"/>
      <c r="BD1611" s="339"/>
    </row>
    <row r="1612" spans="7:56" s="338" customFormat="1">
      <c r="G1612" s="340"/>
      <c r="L1612" s="340"/>
      <c r="P1612" s="340"/>
      <c r="U1612" s="340"/>
      <c r="V1612" s="340"/>
      <c r="Z1612" s="340"/>
      <c r="AE1612" s="340"/>
      <c r="AI1612" s="340"/>
      <c r="AN1612" s="340"/>
      <c r="AO1612" s="340"/>
      <c r="AS1612" s="340"/>
      <c r="AX1612" s="340"/>
      <c r="BB1612" s="340"/>
      <c r="BD1612" s="339"/>
    </row>
    <row r="1613" spans="7:56" s="338" customFormat="1">
      <c r="G1613" s="340"/>
      <c r="L1613" s="340"/>
      <c r="P1613" s="340"/>
      <c r="U1613" s="340"/>
      <c r="V1613" s="340"/>
      <c r="Z1613" s="340"/>
      <c r="AE1613" s="340"/>
      <c r="AI1613" s="340"/>
      <c r="AN1613" s="340"/>
      <c r="AO1613" s="340"/>
      <c r="AS1613" s="340"/>
      <c r="AX1613" s="340"/>
      <c r="BB1613" s="340"/>
      <c r="BD1613" s="339"/>
    </row>
    <row r="1614" spans="7:56" s="338" customFormat="1">
      <c r="G1614" s="340"/>
      <c r="L1614" s="340"/>
      <c r="P1614" s="340"/>
      <c r="U1614" s="340"/>
      <c r="V1614" s="340"/>
      <c r="Z1614" s="340"/>
      <c r="AE1614" s="340"/>
      <c r="AI1614" s="340"/>
      <c r="AN1614" s="340"/>
      <c r="AO1614" s="340"/>
      <c r="AS1614" s="340"/>
      <c r="AX1614" s="340"/>
      <c r="BB1614" s="340"/>
      <c r="BD1614" s="339"/>
    </row>
    <row r="1615" spans="7:56" s="338" customFormat="1">
      <c r="G1615" s="340"/>
      <c r="L1615" s="340"/>
      <c r="P1615" s="340"/>
      <c r="U1615" s="340"/>
      <c r="V1615" s="340"/>
      <c r="Z1615" s="340"/>
      <c r="AE1615" s="340"/>
      <c r="AI1615" s="340"/>
      <c r="AN1615" s="340"/>
      <c r="AO1615" s="340"/>
      <c r="AS1615" s="340"/>
      <c r="AX1615" s="340"/>
      <c r="BB1615" s="340"/>
      <c r="BD1615" s="339"/>
    </row>
    <row r="1616" spans="7:56" s="338" customFormat="1">
      <c r="G1616" s="340"/>
      <c r="L1616" s="340"/>
      <c r="P1616" s="340"/>
      <c r="U1616" s="340"/>
      <c r="V1616" s="340"/>
      <c r="Z1616" s="340"/>
      <c r="AE1616" s="340"/>
      <c r="AI1616" s="340"/>
      <c r="AN1616" s="340"/>
      <c r="AO1616" s="340"/>
      <c r="AS1616" s="340"/>
      <c r="AX1616" s="340"/>
      <c r="BB1616" s="340"/>
      <c r="BD1616" s="339"/>
    </row>
    <row r="1617" spans="7:56" s="338" customFormat="1">
      <c r="G1617" s="340"/>
      <c r="L1617" s="340"/>
      <c r="P1617" s="340"/>
      <c r="U1617" s="340"/>
      <c r="V1617" s="340"/>
      <c r="Z1617" s="340"/>
      <c r="AE1617" s="340"/>
      <c r="AI1617" s="340"/>
      <c r="AN1617" s="340"/>
      <c r="AO1617" s="340"/>
      <c r="AS1617" s="340"/>
      <c r="AX1617" s="340"/>
      <c r="BB1617" s="340"/>
      <c r="BD1617" s="339"/>
    </row>
    <row r="1618" spans="7:56" s="338" customFormat="1">
      <c r="G1618" s="340"/>
      <c r="L1618" s="340"/>
      <c r="P1618" s="340"/>
      <c r="U1618" s="340"/>
      <c r="V1618" s="340"/>
      <c r="Z1618" s="340"/>
      <c r="AE1618" s="340"/>
      <c r="AI1618" s="340"/>
      <c r="AN1618" s="340"/>
      <c r="AO1618" s="340"/>
      <c r="AS1618" s="340"/>
      <c r="AX1618" s="340"/>
      <c r="BB1618" s="340"/>
      <c r="BD1618" s="339"/>
    </row>
    <row r="1619" spans="7:56" s="338" customFormat="1">
      <c r="G1619" s="340"/>
      <c r="L1619" s="340"/>
      <c r="P1619" s="340"/>
      <c r="U1619" s="340"/>
      <c r="V1619" s="340"/>
      <c r="Z1619" s="340"/>
      <c r="AE1619" s="340"/>
      <c r="AI1619" s="340"/>
      <c r="AN1619" s="340"/>
      <c r="AO1619" s="340"/>
      <c r="AS1619" s="340"/>
      <c r="AX1619" s="340"/>
      <c r="BB1619" s="340"/>
      <c r="BD1619" s="339"/>
    </row>
    <row r="1620" spans="7:56" s="338" customFormat="1">
      <c r="G1620" s="340"/>
      <c r="L1620" s="340"/>
      <c r="P1620" s="340"/>
      <c r="U1620" s="340"/>
      <c r="V1620" s="340"/>
      <c r="Z1620" s="340"/>
      <c r="AE1620" s="340"/>
      <c r="AI1620" s="340"/>
      <c r="AN1620" s="340"/>
      <c r="AO1620" s="340"/>
      <c r="AS1620" s="340"/>
      <c r="AX1620" s="340"/>
      <c r="BB1620" s="340"/>
      <c r="BD1620" s="339"/>
    </row>
    <row r="1621" spans="7:56" s="338" customFormat="1">
      <c r="G1621" s="340"/>
      <c r="L1621" s="340"/>
      <c r="P1621" s="340"/>
      <c r="U1621" s="340"/>
      <c r="V1621" s="340"/>
      <c r="Z1621" s="340"/>
      <c r="AE1621" s="340"/>
      <c r="AI1621" s="340"/>
      <c r="AN1621" s="340"/>
      <c r="AO1621" s="340"/>
      <c r="AS1621" s="340"/>
      <c r="AX1621" s="340"/>
      <c r="BB1621" s="340"/>
      <c r="BD1621" s="339"/>
    </row>
    <row r="1622" spans="7:56" s="338" customFormat="1">
      <c r="G1622" s="340"/>
      <c r="L1622" s="340"/>
      <c r="P1622" s="340"/>
      <c r="U1622" s="340"/>
      <c r="V1622" s="340"/>
      <c r="Z1622" s="340"/>
      <c r="AE1622" s="340"/>
      <c r="AI1622" s="340"/>
      <c r="AN1622" s="340"/>
      <c r="AO1622" s="340"/>
      <c r="AS1622" s="340"/>
      <c r="AX1622" s="340"/>
      <c r="BB1622" s="340"/>
      <c r="BD1622" s="339"/>
    </row>
    <row r="1623" spans="7:56" s="338" customFormat="1">
      <c r="G1623" s="340"/>
      <c r="L1623" s="340"/>
      <c r="P1623" s="340"/>
      <c r="U1623" s="340"/>
      <c r="V1623" s="340"/>
      <c r="Z1623" s="340"/>
      <c r="AE1623" s="340"/>
      <c r="AI1623" s="340"/>
      <c r="AN1623" s="340"/>
      <c r="AO1623" s="340"/>
      <c r="AS1623" s="340"/>
      <c r="AX1623" s="340"/>
      <c r="BB1623" s="340"/>
      <c r="BD1623" s="339"/>
    </row>
    <row r="1624" spans="7:56" s="338" customFormat="1">
      <c r="G1624" s="340"/>
      <c r="L1624" s="340"/>
      <c r="P1624" s="340"/>
      <c r="U1624" s="340"/>
      <c r="V1624" s="340"/>
      <c r="Z1624" s="340"/>
      <c r="AE1624" s="340"/>
      <c r="AI1624" s="340"/>
      <c r="AN1624" s="340"/>
      <c r="AO1624" s="340"/>
      <c r="AS1624" s="340"/>
      <c r="AX1624" s="340"/>
      <c r="BB1624" s="340"/>
      <c r="BD1624" s="339"/>
    </row>
    <row r="1625" spans="7:56" s="338" customFormat="1">
      <c r="G1625" s="340"/>
      <c r="L1625" s="340"/>
      <c r="P1625" s="340"/>
      <c r="U1625" s="340"/>
      <c r="V1625" s="340"/>
      <c r="Z1625" s="340"/>
      <c r="AE1625" s="340"/>
      <c r="AI1625" s="340"/>
      <c r="AN1625" s="340"/>
      <c r="AO1625" s="340"/>
      <c r="AS1625" s="340"/>
      <c r="AX1625" s="340"/>
      <c r="BB1625" s="340"/>
      <c r="BD1625" s="339"/>
    </row>
    <row r="1626" spans="7:56" s="338" customFormat="1">
      <c r="G1626" s="340"/>
      <c r="L1626" s="340"/>
      <c r="P1626" s="340"/>
      <c r="U1626" s="340"/>
      <c r="V1626" s="340"/>
      <c r="Z1626" s="340"/>
      <c r="AE1626" s="340"/>
      <c r="AI1626" s="340"/>
      <c r="AN1626" s="340"/>
      <c r="AO1626" s="340"/>
      <c r="AS1626" s="340"/>
      <c r="AX1626" s="340"/>
      <c r="BB1626" s="340"/>
      <c r="BD1626" s="339"/>
    </row>
    <row r="1627" spans="7:56" s="338" customFormat="1">
      <c r="G1627" s="340"/>
      <c r="L1627" s="340"/>
      <c r="P1627" s="340"/>
      <c r="U1627" s="340"/>
      <c r="V1627" s="340"/>
      <c r="Z1627" s="340"/>
      <c r="AE1627" s="340"/>
      <c r="AI1627" s="340"/>
      <c r="AN1627" s="340"/>
      <c r="AO1627" s="340"/>
      <c r="AS1627" s="340"/>
      <c r="AX1627" s="340"/>
      <c r="BB1627" s="340"/>
      <c r="BD1627" s="339"/>
    </row>
    <row r="1628" spans="7:56" s="338" customFormat="1">
      <c r="G1628" s="340"/>
      <c r="L1628" s="340"/>
      <c r="P1628" s="340"/>
      <c r="U1628" s="340"/>
      <c r="V1628" s="340"/>
      <c r="Z1628" s="340"/>
      <c r="AE1628" s="340"/>
      <c r="AI1628" s="340"/>
      <c r="AN1628" s="340"/>
      <c r="AO1628" s="340"/>
      <c r="AS1628" s="340"/>
      <c r="AX1628" s="340"/>
      <c r="BB1628" s="340"/>
      <c r="BD1628" s="339"/>
    </row>
    <row r="1629" spans="7:56" s="338" customFormat="1">
      <c r="G1629" s="340"/>
      <c r="L1629" s="340"/>
      <c r="P1629" s="340"/>
      <c r="U1629" s="340"/>
      <c r="V1629" s="340"/>
      <c r="Z1629" s="340"/>
      <c r="AE1629" s="340"/>
      <c r="AI1629" s="340"/>
      <c r="AN1629" s="340"/>
      <c r="AO1629" s="340"/>
      <c r="AS1629" s="340"/>
      <c r="AX1629" s="340"/>
      <c r="BB1629" s="340"/>
      <c r="BD1629" s="339"/>
    </row>
    <row r="1630" spans="7:56" s="338" customFormat="1">
      <c r="G1630" s="340"/>
      <c r="L1630" s="340"/>
      <c r="P1630" s="340"/>
      <c r="U1630" s="340"/>
      <c r="V1630" s="340"/>
      <c r="Z1630" s="340"/>
      <c r="AE1630" s="340"/>
      <c r="AI1630" s="340"/>
      <c r="AN1630" s="340"/>
      <c r="AO1630" s="340"/>
      <c r="AS1630" s="340"/>
      <c r="AX1630" s="340"/>
      <c r="BB1630" s="340"/>
      <c r="BD1630" s="339"/>
    </row>
    <row r="1631" spans="7:56" s="338" customFormat="1">
      <c r="G1631" s="340"/>
      <c r="L1631" s="340"/>
      <c r="P1631" s="340"/>
      <c r="U1631" s="340"/>
      <c r="V1631" s="340"/>
      <c r="Z1631" s="340"/>
      <c r="AE1631" s="340"/>
      <c r="AI1631" s="340"/>
      <c r="AN1631" s="340"/>
      <c r="AO1631" s="340"/>
      <c r="AS1631" s="340"/>
      <c r="AX1631" s="340"/>
      <c r="BB1631" s="340"/>
      <c r="BD1631" s="339"/>
    </row>
    <row r="1632" spans="7:56" s="338" customFormat="1">
      <c r="G1632" s="340"/>
      <c r="L1632" s="340"/>
      <c r="P1632" s="340"/>
      <c r="U1632" s="340"/>
      <c r="V1632" s="340"/>
      <c r="Z1632" s="340"/>
      <c r="AE1632" s="340"/>
      <c r="AI1632" s="340"/>
      <c r="AN1632" s="340"/>
      <c r="AO1632" s="340"/>
      <c r="AS1632" s="340"/>
      <c r="AX1632" s="340"/>
      <c r="BB1632" s="340"/>
      <c r="BD1632" s="339"/>
    </row>
    <row r="1633" spans="7:56" s="338" customFormat="1">
      <c r="G1633" s="340"/>
      <c r="L1633" s="340"/>
      <c r="P1633" s="340"/>
      <c r="U1633" s="340"/>
      <c r="V1633" s="340"/>
      <c r="Z1633" s="340"/>
      <c r="AE1633" s="340"/>
      <c r="AI1633" s="340"/>
      <c r="AN1633" s="340"/>
      <c r="AO1633" s="340"/>
      <c r="AS1633" s="340"/>
      <c r="AX1633" s="340"/>
      <c r="BB1633" s="340"/>
      <c r="BD1633" s="339"/>
    </row>
    <row r="1634" spans="7:56" s="338" customFormat="1">
      <c r="G1634" s="340"/>
      <c r="L1634" s="340"/>
      <c r="P1634" s="340"/>
      <c r="U1634" s="340"/>
      <c r="V1634" s="340"/>
      <c r="Z1634" s="340"/>
      <c r="AE1634" s="340"/>
      <c r="AI1634" s="340"/>
      <c r="AN1634" s="340"/>
      <c r="AO1634" s="340"/>
      <c r="AS1634" s="340"/>
      <c r="AX1634" s="340"/>
      <c r="BB1634" s="340"/>
      <c r="BD1634" s="339"/>
    </row>
    <row r="1635" spans="7:56" s="338" customFormat="1">
      <c r="G1635" s="340"/>
      <c r="L1635" s="340"/>
      <c r="P1635" s="340"/>
      <c r="U1635" s="340"/>
      <c r="V1635" s="340"/>
      <c r="Z1635" s="340"/>
      <c r="AE1635" s="340"/>
      <c r="AI1635" s="340"/>
      <c r="AN1635" s="340"/>
      <c r="AO1635" s="340"/>
      <c r="AS1635" s="340"/>
      <c r="AX1635" s="340"/>
      <c r="BB1635" s="340"/>
      <c r="BD1635" s="339"/>
    </row>
    <row r="1636" spans="7:56" s="338" customFormat="1">
      <c r="G1636" s="340"/>
      <c r="L1636" s="340"/>
      <c r="P1636" s="340"/>
      <c r="U1636" s="340"/>
      <c r="V1636" s="340"/>
      <c r="Z1636" s="340"/>
      <c r="AE1636" s="340"/>
      <c r="AI1636" s="340"/>
      <c r="AN1636" s="340"/>
      <c r="AO1636" s="340"/>
      <c r="AS1636" s="340"/>
      <c r="AX1636" s="340"/>
      <c r="BB1636" s="340"/>
      <c r="BD1636" s="339"/>
    </row>
    <row r="1637" spans="7:56" s="338" customFormat="1">
      <c r="G1637" s="340"/>
      <c r="L1637" s="340"/>
      <c r="P1637" s="340"/>
      <c r="U1637" s="340"/>
      <c r="V1637" s="340"/>
      <c r="Z1637" s="340"/>
      <c r="AE1637" s="340"/>
      <c r="AI1637" s="340"/>
      <c r="AN1637" s="340"/>
      <c r="AO1637" s="340"/>
      <c r="AS1637" s="340"/>
      <c r="AX1637" s="340"/>
      <c r="BB1637" s="340"/>
      <c r="BD1637" s="339"/>
    </row>
    <row r="1638" spans="7:56" s="338" customFormat="1">
      <c r="G1638" s="340"/>
      <c r="L1638" s="340"/>
      <c r="P1638" s="340"/>
      <c r="U1638" s="340"/>
      <c r="V1638" s="340"/>
      <c r="Z1638" s="340"/>
      <c r="AE1638" s="340"/>
      <c r="AI1638" s="340"/>
      <c r="AN1638" s="340"/>
      <c r="AO1638" s="340"/>
      <c r="AS1638" s="340"/>
      <c r="AX1638" s="340"/>
      <c r="BB1638" s="340"/>
      <c r="BD1638" s="339"/>
    </row>
    <row r="1639" spans="7:56" s="338" customFormat="1">
      <c r="G1639" s="340"/>
      <c r="L1639" s="340"/>
      <c r="P1639" s="340"/>
      <c r="U1639" s="340"/>
      <c r="V1639" s="340"/>
      <c r="Z1639" s="340"/>
      <c r="AE1639" s="340"/>
      <c r="AI1639" s="340"/>
      <c r="AN1639" s="340"/>
      <c r="AO1639" s="340"/>
      <c r="AS1639" s="340"/>
      <c r="AX1639" s="340"/>
      <c r="BB1639" s="340"/>
      <c r="BD1639" s="339"/>
    </row>
    <row r="1640" spans="7:56" s="338" customFormat="1">
      <c r="G1640" s="340"/>
      <c r="L1640" s="340"/>
      <c r="P1640" s="340"/>
      <c r="U1640" s="340"/>
      <c r="V1640" s="340"/>
      <c r="Z1640" s="340"/>
      <c r="AE1640" s="340"/>
      <c r="AI1640" s="340"/>
      <c r="AN1640" s="340"/>
      <c r="AO1640" s="340"/>
      <c r="AS1640" s="340"/>
      <c r="AX1640" s="340"/>
      <c r="BB1640" s="340"/>
      <c r="BD1640" s="339"/>
    </row>
    <row r="1641" spans="7:56" s="338" customFormat="1">
      <c r="G1641" s="340"/>
      <c r="L1641" s="340"/>
      <c r="P1641" s="340"/>
      <c r="U1641" s="340"/>
      <c r="V1641" s="340"/>
      <c r="Z1641" s="340"/>
      <c r="AE1641" s="340"/>
      <c r="AI1641" s="340"/>
      <c r="AN1641" s="340"/>
      <c r="AO1641" s="340"/>
      <c r="AS1641" s="340"/>
      <c r="AX1641" s="340"/>
      <c r="BB1641" s="340"/>
      <c r="BD1641" s="339"/>
    </row>
    <row r="1642" spans="7:56" s="338" customFormat="1">
      <c r="G1642" s="340"/>
      <c r="L1642" s="340"/>
      <c r="P1642" s="340"/>
      <c r="U1642" s="340"/>
      <c r="V1642" s="340"/>
      <c r="Z1642" s="340"/>
      <c r="AE1642" s="340"/>
      <c r="AI1642" s="340"/>
      <c r="AN1642" s="340"/>
      <c r="AO1642" s="340"/>
      <c r="AS1642" s="340"/>
      <c r="AX1642" s="340"/>
      <c r="BB1642" s="340"/>
      <c r="BD1642" s="339"/>
    </row>
    <row r="1643" spans="7:56" s="338" customFormat="1">
      <c r="G1643" s="340"/>
      <c r="L1643" s="340"/>
      <c r="P1643" s="340"/>
      <c r="U1643" s="340"/>
      <c r="V1643" s="340"/>
      <c r="Z1643" s="340"/>
      <c r="AE1643" s="340"/>
      <c r="AI1643" s="340"/>
      <c r="AN1643" s="340"/>
      <c r="AO1643" s="340"/>
      <c r="AS1643" s="340"/>
      <c r="AX1643" s="340"/>
      <c r="BB1643" s="340"/>
      <c r="BD1643" s="339"/>
    </row>
    <row r="1644" spans="7:56" s="338" customFormat="1">
      <c r="G1644" s="340"/>
      <c r="L1644" s="340"/>
      <c r="P1644" s="340"/>
      <c r="U1644" s="340"/>
      <c r="V1644" s="340"/>
      <c r="Z1644" s="340"/>
      <c r="AE1644" s="340"/>
      <c r="AI1644" s="340"/>
      <c r="AN1644" s="340"/>
      <c r="AO1644" s="340"/>
      <c r="AS1644" s="340"/>
      <c r="AX1644" s="340"/>
      <c r="BB1644" s="340"/>
      <c r="BD1644" s="339"/>
    </row>
    <row r="1645" spans="7:56" s="338" customFormat="1">
      <c r="G1645" s="340"/>
      <c r="L1645" s="340"/>
      <c r="P1645" s="340"/>
      <c r="U1645" s="340"/>
      <c r="V1645" s="340"/>
      <c r="Z1645" s="340"/>
      <c r="AE1645" s="340"/>
      <c r="AI1645" s="340"/>
      <c r="AN1645" s="340"/>
      <c r="AO1645" s="340"/>
      <c r="AS1645" s="340"/>
      <c r="AX1645" s="340"/>
      <c r="BB1645" s="340"/>
      <c r="BD1645" s="339"/>
    </row>
    <row r="1646" spans="7:56" s="338" customFormat="1">
      <c r="G1646" s="340"/>
      <c r="L1646" s="340"/>
      <c r="P1646" s="340"/>
      <c r="U1646" s="340"/>
      <c r="V1646" s="340"/>
      <c r="Z1646" s="340"/>
      <c r="AE1646" s="340"/>
      <c r="AI1646" s="340"/>
      <c r="AN1646" s="340"/>
      <c r="AO1646" s="340"/>
      <c r="AS1646" s="340"/>
      <c r="AX1646" s="340"/>
      <c r="BB1646" s="340"/>
      <c r="BD1646" s="339"/>
    </row>
    <row r="1647" spans="7:56" s="338" customFormat="1">
      <c r="G1647" s="340"/>
      <c r="L1647" s="340"/>
      <c r="P1647" s="340"/>
      <c r="U1647" s="340"/>
      <c r="V1647" s="340"/>
      <c r="Z1647" s="340"/>
      <c r="AE1647" s="340"/>
      <c r="AI1647" s="340"/>
      <c r="AN1647" s="340"/>
      <c r="AO1647" s="340"/>
      <c r="AS1647" s="340"/>
      <c r="AX1647" s="340"/>
      <c r="BB1647" s="340"/>
      <c r="BD1647" s="339"/>
    </row>
    <row r="1648" spans="7:56" s="338" customFormat="1">
      <c r="G1648" s="340"/>
      <c r="L1648" s="340"/>
      <c r="P1648" s="340"/>
      <c r="U1648" s="340"/>
      <c r="V1648" s="340"/>
      <c r="Z1648" s="340"/>
      <c r="AE1648" s="340"/>
      <c r="AI1648" s="340"/>
      <c r="AN1648" s="340"/>
      <c r="AO1648" s="340"/>
      <c r="AS1648" s="340"/>
      <c r="AX1648" s="340"/>
      <c r="BB1648" s="340"/>
      <c r="BD1648" s="339"/>
    </row>
    <row r="1649" spans="7:56" s="338" customFormat="1">
      <c r="G1649" s="340"/>
      <c r="L1649" s="340"/>
      <c r="P1649" s="340"/>
      <c r="U1649" s="340"/>
      <c r="V1649" s="340"/>
      <c r="Z1649" s="340"/>
      <c r="AE1649" s="340"/>
      <c r="AI1649" s="340"/>
      <c r="AN1649" s="340"/>
      <c r="AO1649" s="340"/>
      <c r="AS1649" s="340"/>
      <c r="AX1649" s="340"/>
      <c r="BB1649" s="340"/>
      <c r="BD1649" s="339"/>
    </row>
    <row r="1650" spans="7:56" s="338" customFormat="1">
      <c r="G1650" s="340"/>
      <c r="L1650" s="340"/>
      <c r="P1650" s="340"/>
      <c r="U1650" s="340"/>
      <c r="V1650" s="340"/>
      <c r="Z1650" s="340"/>
      <c r="AE1650" s="340"/>
      <c r="AI1650" s="340"/>
      <c r="AN1650" s="340"/>
      <c r="AO1650" s="340"/>
      <c r="AS1650" s="340"/>
      <c r="AX1650" s="340"/>
      <c r="BB1650" s="340"/>
      <c r="BD1650" s="339"/>
    </row>
    <row r="1651" spans="7:56" s="338" customFormat="1">
      <c r="G1651" s="340"/>
      <c r="L1651" s="340"/>
      <c r="P1651" s="340"/>
      <c r="U1651" s="340"/>
      <c r="V1651" s="340"/>
      <c r="Z1651" s="340"/>
      <c r="AE1651" s="340"/>
      <c r="AI1651" s="340"/>
      <c r="AN1651" s="340"/>
      <c r="AO1651" s="340"/>
      <c r="AS1651" s="340"/>
      <c r="AX1651" s="340"/>
      <c r="BB1651" s="340"/>
      <c r="BD1651" s="339"/>
    </row>
    <row r="1652" spans="7:56" s="338" customFormat="1">
      <c r="G1652" s="340"/>
      <c r="L1652" s="340"/>
      <c r="P1652" s="340"/>
      <c r="U1652" s="340"/>
      <c r="V1652" s="340"/>
      <c r="Z1652" s="340"/>
      <c r="AE1652" s="340"/>
      <c r="AI1652" s="340"/>
      <c r="AN1652" s="340"/>
      <c r="AO1652" s="340"/>
      <c r="AS1652" s="340"/>
      <c r="AX1652" s="340"/>
      <c r="BB1652" s="340"/>
      <c r="BD1652" s="339"/>
    </row>
    <row r="1653" spans="7:56" s="338" customFormat="1">
      <c r="G1653" s="340"/>
      <c r="L1653" s="340"/>
      <c r="P1653" s="340"/>
      <c r="U1653" s="340"/>
      <c r="V1653" s="340"/>
      <c r="Z1653" s="340"/>
      <c r="AE1653" s="340"/>
      <c r="AI1653" s="340"/>
      <c r="AN1653" s="340"/>
      <c r="AO1653" s="340"/>
      <c r="AS1653" s="340"/>
      <c r="AX1653" s="340"/>
      <c r="BB1653" s="340"/>
      <c r="BD1653" s="339"/>
    </row>
    <row r="1654" spans="7:56" s="338" customFormat="1">
      <c r="G1654" s="340"/>
      <c r="L1654" s="340"/>
      <c r="P1654" s="340"/>
      <c r="U1654" s="340"/>
      <c r="V1654" s="340"/>
      <c r="Z1654" s="340"/>
      <c r="AE1654" s="340"/>
      <c r="AI1654" s="340"/>
      <c r="AN1654" s="340"/>
      <c r="AO1654" s="340"/>
      <c r="AS1654" s="340"/>
      <c r="AX1654" s="340"/>
      <c r="BB1654" s="340"/>
      <c r="BD1654" s="339"/>
    </row>
    <row r="1655" spans="7:56" s="338" customFormat="1">
      <c r="G1655" s="340"/>
      <c r="L1655" s="340"/>
      <c r="P1655" s="340"/>
      <c r="U1655" s="340"/>
      <c r="V1655" s="340"/>
      <c r="Z1655" s="340"/>
      <c r="AE1655" s="340"/>
      <c r="AI1655" s="340"/>
      <c r="AN1655" s="340"/>
      <c r="AO1655" s="340"/>
      <c r="AS1655" s="340"/>
      <c r="AX1655" s="340"/>
      <c r="BB1655" s="340"/>
      <c r="BD1655" s="339"/>
    </row>
    <row r="1656" spans="7:56" s="338" customFormat="1">
      <c r="G1656" s="340"/>
      <c r="L1656" s="340"/>
      <c r="P1656" s="340"/>
      <c r="U1656" s="340"/>
      <c r="V1656" s="340"/>
      <c r="Z1656" s="340"/>
      <c r="AE1656" s="340"/>
      <c r="AI1656" s="340"/>
      <c r="AN1656" s="340"/>
      <c r="AO1656" s="340"/>
      <c r="AS1656" s="340"/>
      <c r="AX1656" s="340"/>
      <c r="BB1656" s="340"/>
      <c r="BD1656" s="339"/>
    </row>
    <row r="1657" spans="7:56" s="338" customFormat="1">
      <c r="G1657" s="340"/>
      <c r="L1657" s="340"/>
      <c r="P1657" s="340"/>
      <c r="U1657" s="340"/>
      <c r="V1657" s="340"/>
      <c r="Z1657" s="340"/>
      <c r="AE1657" s="340"/>
      <c r="AI1657" s="340"/>
      <c r="AN1657" s="340"/>
      <c r="AO1657" s="340"/>
      <c r="AS1657" s="340"/>
      <c r="AX1657" s="340"/>
      <c r="BB1657" s="340"/>
      <c r="BD1657" s="339"/>
    </row>
    <row r="1658" spans="7:56" s="338" customFormat="1">
      <c r="G1658" s="340"/>
      <c r="L1658" s="340"/>
      <c r="P1658" s="340"/>
      <c r="U1658" s="340"/>
      <c r="V1658" s="340"/>
      <c r="Z1658" s="340"/>
      <c r="AE1658" s="340"/>
      <c r="AI1658" s="340"/>
      <c r="AN1658" s="340"/>
      <c r="AO1658" s="340"/>
      <c r="AS1658" s="340"/>
      <c r="AX1658" s="340"/>
      <c r="BB1658" s="340"/>
      <c r="BD1658" s="339"/>
    </row>
    <row r="1659" spans="7:56" s="338" customFormat="1">
      <c r="G1659" s="340"/>
      <c r="L1659" s="340"/>
      <c r="P1659" s="340"/>
      <c r="U1659" s="340"/>
      <c r="V1659" s="340"/>
      <c r="Z1659" s="340"/>
      <c r="AE1659" s="340"/>
      <c r="AI1659" s="340"/>
      <c r="AN1659" s="340"/>
      <c r="AO1659" s="340"/>
      <c r="AS1659" s="340"/>
      <c r="AX1659" s="340"/>
      <c r="BB1659" s="340"/>
      <c r="BD1659" s="339"/>
    </row>
    <row r="1660" spans="7:56" s="338" customFormat="1">
      <c r="G1660" s="340"/>
      <c r="L1660" s="340"/>
      <c r="P1660" s="340"/>
      <c r="U1660" s="340"/>
      <c r="V1660" s="340"/>
      <c r="Z1660" s="340"/>
      <c r="AE1660" s="340"/>
      <c r="AI1660" s="340"/>
      <c r="AN1660" s="340"/>
      <c r="AO1660" s="340"/>
      <c r="AS1660" s="340"/>
      <c r="AX1660" s="340"/>
      <c r="BB1660" s="340"/>
      <c r="BD1660" s="339"/>
    </row>
    <row r="1661" spans="7:56" s="338" customFormat="1">
      <c r="G1661" s="340"/>
      <c r="L1661" s="340"/>
      <c r="P1661" s="340"/>
      <c r="U1661" s="340"/>
      <c r="V1661" s="340"/>
      <c r="Z1661" s="340"/>
      <c r="AE1661" s="340"/>
      <c r="AI1661" s="340"/>
      <c r="AN1661" s="340"/>
      <c r="AO1661" s="340"/>
      <c r="AS1661" s="340"/>
      <c r="AX1661" s="340"/>
      <c r="BB1661" s="340"/>
      <c r="BD1661" s="339"/>
    </row>
    <row r="1662" spans="7:56" s="338" customFormat="1">
      <c r="G1662" s="340"/>
      <c r="L1662" s="340"/>
      <c r="P1662" s="340"/>
      <c r="U1662" s="340"/>
      <c r="V1662" s="340"/>
      <c r="Z1662" s="340"/>
      <c r="AE1662" s="340"/>
      <c r="AI1662" s="340"/>
      <c r="AN1662" s="340"/>
      <c r="AO1662" s="340"/>
      <c r="AS1662" s="340"/>
      <c r="AX1662" s="340"/>
      <c r="BB1662" s="340"/>
      <c r="BD1662" s="339"/>
    </row>
    <row r="1663" spans="7:56" s="338" customFormat="1">
      <c r="G1663" s="340"/>
      <c r="L1663" s="340"/>
      <c r="P1663" s="340"/>
      <c r="U1663" s="340"/>
      <c r="V1663" s="340"/>
      <c r="Z1663" s="340"/>
      <c r="AE1663" s="340"/>
      <c r="AI1663" s="340"/>
      <c r="AN1663" s="340"/>
      <c r="AO1663" s="340"/>
      <c r="AS1663" s="340"/>
      <c r="AX1663" s="340"/>
      <c r="BB1663" s="340"/>
      <c r="BD1663" s="339"/>
    </row>
    <row r="1664" spans="7:56" s="338" customFormat="1">
      <c r="G1664" s="340"/>
      <c r="L1664" s="340"/>
      <c r="P1664" s="340"/>
      <c r="U1664" s="340"/>
      <c r="V1664" s="340"/>
      <c r="Z1664" s="340"/>
      <c r="AE1664" s="340"/>
      <c r="AI1664" s="340"/>
      <c r="AN1664" s="340"/>
      <c r="AO1664" s="340"/>
      <c r="AS1664" s="340"/>
      <c r="AX1664" s="340"/>
      <c r="BB1664" s="340"/>
      <c r="BD1664" s="339"/>
    </row>
    <row r="1665" spans="7:56" s="338" customFormat="1">
      <c r="G1665" s="340"/>
      <c r="L1665" s="340"/>
      <c r="P1665" s="340"/>
      <c r="U1665" s="340"/>
      <c r="V1665" s="340"/>
      <c r="Z1665" s="340"/>
      <c r="AE1665" s="340"/>
      <c r="AI1665" s="340"/>
      <c r="AN1665" s="340"/>
      <c r="AO1665" s="340"/>
      <c r="AS1665" s="340"/>
      <c r="AX1665" s="340"/>
      <c r="BB1665" s="340"/>
      <c r="BD1665" s="339"/>
    </row>
    <row r="1666" spans="7:56" s="338" customFormat="1">
      <c r="G1666" s="340"/>
      <c r="L1666" s="340"/>
      <c r="P1666" s="340"/>
      <c r="U1666" s="340"/>
      <c r="V1666" s="340"/>
      <c r="Z1666" s="340"/>
      <c r="AE1666" s="340"/>
      <c r="AI1666" s="340"/>
      <c r="AN1666" s="340"/>
      <c r="AO1666" s="340"/>
      <c r="AS1666" s="340"/>
      <c r="AX1666" s="340"/>
      <c r="BB1666" s="340"/>
      <c r="BD1666" s="339"/>
    </row>
    <row r="1667" spans="7:56" s="338" customFormat="1">
      <c r="G1667" s="340"/>
      <c r="L1667" s="340"/>
      <c r="P1667" s="340"/>
      <c r="U1667" s="340"/>
      <c r="V1667" s="340"/>
      <c r="Z1667" s="340"/>
      <c r="AE1667" s="340"/>
      <c r="AI1667" s="340"/>
      <c r="AN1667" s="340"/>
      <c r="AO1667" s="340"/>
      <c r="AS1667" s="340"/>
      <c r="AX1667" s="340"/>
      <c r="BB1667" s="340"/>
      <c r="BD1667" s="339"/>
    </row>
    <row r="1668" spans="7:56" s="338" customFormat="1">
      <c r="G1668" s="340"/>
      <c r="L1668" s="340"/>
      <c r="P1668" s="340"/>
      <c r="U1668" s="340"/>
      <c r="V1668" s="340"/>
      <c r="Z1668" s="340"/>
      <c r="AE1668" s="340"/>
      <c r="AI1668" s="340"/>
      <c r="AN1668" s="340"/>
      <c r="AO1668" s="340"/>
      <c r="AS1668" s="340"/>
      <c r="AX1668" s="340"/>
      <c r="BB1668" s="340"/>
      <c r="BD1668" s="339"/>
    </row>
    <row r="1669" spans="7:56" s="338" customFormat="1">
      <c r="G1669" s="340"/>
      <c r="L1669" s="340"/>
      <c r="P1669" s="340"/>
      <c r="U1669" s="340"/>
      <c r="V1669" s="340"/>
      <c r="Z1669" s="340"/>
      <c r="AE1669" s="340"/>
      <c r="AI1669" s="340"/>
      <c r="AN1669" s="340"/>
      <c r="AO1669" s="340"/>
      <c r="AS1669" s="340"/>
      <c r="AX1669" s="340"/>
      <c r="BB1669" s="340"/>
      <c r="BD1669" s="339"/>
    </row>
    <row r="1670" spans="7:56" s="338" customFormat="1">
      <c r="G1670" s="340"/>
      <c r="L1670" s="340"/>
      <c r="P1670" s="340"/>
      <c r="U1670" s="340"/>
      <c r="V1670" s="340"/>
      <c r="Z1670" s="340"/>
      <c r="AE1670" s="340"/>
      <c r="AI1670" s="340"/>
      <c r="AN1670" s="340"/>
      <c r="AO1670" s="340"/>
      <c r="AS1670" s="340"/>
      <c r="AX1670" s="340"/>
      <c r="BB1670" s="340"/>
      <c r="BD1670" s="339"/>
    </row>
    <row r="1671" spans="7:56" s="338" customFormat="1">
      <c r="G1671" s="340"/>
      <c r="L1671" s="340"/>
      <c r="P1671" s="340"/>
      <c r="U1671" s="340"/>
      <c r="V1671" s="340"/>
      <c r="Z1671" s="340"/>
      <c r="AE1671" s="340"/>
      <c r="AI1671" s="340"/>
      <c r="AN1671" s="340"/>
      <c r="AO1671" s="340"/>
      <c r="AS1671" s="340"/>
      <c r="AX1671" s="340"/>
      <c r="BB1671" s="340"/>
      <c r="BD1671" s="339"/>
    </row>
    <row r="1672" spans="7:56" s="338" customFormat="1">
      <c r="G1672" s="340"/>
      <c r="L1672" s="340"/>
      <c r="P1672" s="340"/>
      <c r="U1672" s="340"/>
      <c r="V1672" s="340"/>
      <c r="Z1672" s="340"/>
      <c r="AE1672" s="340"/>
      <c r="AI1672" s="340"/>
      <c r="AN1672" s="340"/>
      <c r="AO1672" s="340"/>
      <c r="AS1672" s="340"/>
      <c r="AX1672" s="340"/>
      <c r="BB1672" s="340"/>
      <c r="BD1672" s="339"/>
    </row>
    <row r="1673" spans="7:56" s="338" customFormat="1">
      <c r="G1673" s="340"/>
      <c r="L1673" s="340"/>
      <c r="P1673" s="340"/>
      <c r="U1673" s="340"/>
      <c r="V1673" s="340"/>
      <c r="Z1673" s="340"/>
      <c r="AE1673" s="340"/>
      <c r="AI1673" s="340"/>
      <c r="AN1673" s="340"/>
      <c r="AO1673" s="340"/>
      <c r="AS1673" s="340"/>
      <c r="AX1673" s="340"/>
      <c r="BB1673" s="340"/>
      <c r="BD1673" s="339"/>
    </row>
    <row r="1674" spans="7:56" s="338" customFormat="1">
      <c r="G1674" s="340"/>
      <c r="L1674" s="340"/>
      <c r="P1674" s="340"/>
      <c r="U1674" s="340"/>
      <c r="V1674" s="340"/>
      <c r="Z1674" s="340"/>
      <c r="AE1674" s="340"/>
      <c r="AI1674" s="340"/>
      <c r="AN1674" s="340"/>
      <c r="AO1674" s="340"/>
      <c r="AS1674" s="340"/>
      <c r="AX1674" s="340"/>
      <c r="BB1674" s="340"/>
      <c r="BD1674" s="339"/>
    </row>
    <row r="1675" spans="7:56" s="338" customFormat="1">
      <c r="G1675" s="340"/>
      <c r="L1675" s="340"/>
      <c r="P1675" s="340"/>
      <c r="U1675" s="340"/>
      <c r="V1675" s="340"/>
      <c r="Z1675" s="340"/>
      <c r="AE1675" s="340"/>
      <c r="AI1675" s="340"/>
      <c r="AN1675" s="340"/>
      <c r="AO1675" s="340"/>
      <c r="AS1675" s="340"/>
      <c r="AX1675" s="340"/>
      <c r="BB1675" s="340"/>
      <c r="BD1675" s="339"/>
    </row>
    <row r="1676" spans="7:56" s="338" customFormat="1">
      <c r="G1676" s="340"/>
      <c r="L1676" s="340"/>
      <c r="P1676" s="340"/>
      <c r="U1676" s="340"/>
      <c r="V1676" s="340"/>
      <c r="Z1676" s="340"/>
      <c r="AE1676" s="340"/>
      <c r="AI1676" s="340"/>
      <c r="AN1676" s="340"/>
      <c r="AO1676" s="340"/>
      <c r="AS1676" s="340"/>
      <c r="AX1676" s="340"/>
      <c r="BB1676" s="340"/>
      <c r="BD1676" s="339"/>
    </row>
    <row r="1677" spans="7:56" s="338" customFormat="1">
      <c r="G1677" s="340"/>
      <c r="L1677" s="340"/>
      <c r="P1677" s="340"/>
      <c r="U1677" s="340"/>
      <c r="V1677" s="340"/>
      <c r="Z1677" s="340"/>
      <c r="AE1677" s="340"/>
      <c r="AI1677" s="340"/>
      <c r="AN1677" s="340"/>
      <c r="AO1677" s="340"/>
      <c r="AS1677" s="340"/>
      <c r="AX1677" s="340"/>
      <c r="BB1677" s="340"/>
      <c r="BD1677" s="339"/>
    </row>
    <row r="1678" spans="7:56" s="338" customFormat="1">
      <c r="G1678" s="340"/>
      <c r="L1678" s="340"/>
      <c r="P1678" s="340"/>
      <c r="U1678" s="340"/>
      <c r="V1678" s="340"/>
      <c r="Z1678" s="340"/>
      <c r="AE1678" s="340"/>
      <c r="AI1678" s="340"/>
      <c r="AN1678" s="340"/>
      <c r="AO1678" s="340"/>
      <c r="AS1678" s="340"/>
      <c r="AX1678" s="340"/>
      <c r="BB1678" s="340"/>
      <c r="BD1678" s="339"/>
    </row>
    <row r="1679" spans="7:56" s="338" customFormat="1">
      <c r="G1679" s="340"/>
      <c r="L1679" s="340"/>
      <c r="P1679" s="340"/>
      <c r="U1679" s="340"/>
      <c r="V1679" s="340"/>
      <c r="Z1679" s="340"/>
      <c r="AE1679" s="340"/>
      <c r="AI1679" s="340"/>
      <c r="AN1679" s="340"/>
      <c r="AO1679" s="340"/>
      <c r="AS1679" s="340"/>
      <c r="AX1679" s="340"/>
      <c r="BB1679" s="340"/>
      <c r="BD1679" s="339"/>
    </row>
    <row r="1680" spans="7:56" s="338" customFormat="1">
      <c r="G1680" s="340"/>
      <c r="L1680" s="340"/>
      <c r="P1680" s="340"/>
      <c r="U1680" s="340"/>
      <c r="V1680" s="340"/>
      <c r="Z1680" s="340"/>
      <c r="AE1680" s="340"/>
      <c r="AI1680" s="340"/>
      <c r="AN1680" s="340"/>
      <c r="AO1680" s="340"/>
      <c r="AS1680" s="340"/>
      <c r="AX1680" s="340"/>
      <c r="BB1680" s="340"/>
      <c r="BD1680" s="339"/>
    </row>
    <row r="1681" spans="7:56" s="338" customFormat="1">
      <c r="G1681" s="340"/>
      <c r="L1681" s="340"/>
      <c r="P1681" s="340"/>
      <c r="U1681" s="340"/>
      <c r="V1681" s="340"/>
      <c r="Z1681" s="340"/>
      <c r="AE1681" s="340"/>
      <c r="AI1681" s="340"/>
      <c r="AN1681" s="340"/>
      <c r="AO1681" s="340"/>
      <c r="AS1681" s="340"/>
      <c r="AX1681" s="340"/>
      <c r="BB1681" s="340"/>
      <c r="BD1681" s="339"/>
    </row>
    <row r="1682" spans="7:56" s="338" customFormat="1">
      <c r="G1682" s="340"/>
      <c r="L1682" s="340"/>
      <c r="P1682" s="340"/>
      <c r="U1682" s="340"/>
      <c r="V1682" s="340"/>
      <c r="Z1682" s="340"/>
      <c r="AE1682" s="340"/>
      <c r="AI1682" s="340"/>
      <c r="AN1682" s="340"/>
      <c r="AO1682" s="340"/>
      <c r="AS1682" s="340"/>
      <c r="AX1682" s="340"/>
      <c r="BB1682" s="340"/>
      <c r="BD1682" s="339"/>
    </row>
    <row r="1683" spans="7:56" s="338" customFormat="1">
      <c r="G1683" s="340"/>
      <c r="L1683" s="340"/>
      <c r="P1683" s="340"/>
      <c r="U1683" s="340"/>
      <c r="V1683" s="340"/>
      <c r="Z1683" s="340"/>
      <c r="AE1683" s="340"/>
      <c r="AI1683" s="340"/>
      <c r="AN1683" s="340"/>
      <c r="AO1683" s="340"/>
      <c r="AS1683" s="340"/>
      <c r="AX1683" s="340"/>
      <c r="BB1683" s="340"/>
      <c r="BD1683" s="339"/>
    </row>
    <row r="1684" spans="7:56" s="338" customFormat="1">
      <c r="G1684" s="340"/>
      <c r="L1684" s="340"/>
      <c r="P1684" s="340"/>
      <c r="U1684" s="340"/>
      <c r="V1684" s="340"/>
      <c r="Z1684" s="340"/>
      <c r="AE1684" s="340"/>
      <c r="AI1684" s="340"/>
      <c r="AN1684" s="340"/>
      <c r="AO1684" s="340"/>
      <c r="AS1684" s="340"/>
      <c r="AX1684" s="340"/>
      <c r="BB1684" s="340"/>
      <c r="BD1684" s="339"/>
    </row>
    <row r="1685" spans="7:56" s="338" customFormat="1">
      <c r="G1685" s="340"/>
      <c r="L1685" s="340"/>
      <c r="P1685" s="340"/>
      <c r="U1685" s="340"/>
      <c r="V1685" s="340"/>
      <c r="Z1685" s="340"/>
      <c r="AE1685" s="340"/>
      <c r="AI1685" s="340"/>
      <c r="AN1685" s="340"/>
      <c r="AO1685" s="340"/>
      <c r="AS1685" s="340"/>
      <c r="AX1685" s="340"/>
      <c r="BB1685" s="340"/>
      <c r="BD1685" s="339"/>
    </row>
    <row r="1686" spans="7:56" s="338" customFormat="1">
      <c r="G1686" s="340"/>
      <c r="L1686" s="340"/>
      <c r="P1686" s="340"/>
      <c r="U1686" s="340"/>
      <c r="V1686" s="340"/>
      <c r="Z1686" s="340"/>
      <c r="AE1686" s="340"/>
      <c r="AI1686" s="340"/>
      <c r="AN1686" s="340"/>
      <c r="AO1686" s="340"/>
      <c r="AS1686" s="340"/>
      <c r="AX1686" s="340"/>
      <c r="BB1686" s="340"/>
      <c r="BD1686" s="339"/>
    </row>
    <row r="1687" spans="7:56" s="338" customFormat="1">
      <c r="G1687" s="340"/>
      <c r="L1687" s="340"/>
      <c r="P1687" s="340"/>
      <c r="U1687" s="340"/>
      <c r="V1687" s="340"/>
      <c r="Z1687" s="340"/>
      <c r="AE1687" s="340"/>
      <c r="AI1687" s="340"/>
      <c r="AN1687" s="340"/>
      <c r="AO1687" s="340"/>
      <c r="AS1687" s="340"/>
      <c r="AX1687" s="340"/>
      <c r="BB1687" s="340"/>
      <c r="BD1687" s="339"/>
    </row>
    <row r="1688" spans="7:56" s="338" customFormat="1">
      <c r="G1688" s="340"/>
      <c r="L1688" s="340"/>
      <c r="P1688" s="340"/>
      <c r="U1688" s="340"/>
      <c r="V1688" s="340"/>
      <c r="Z1688" s="340"/>
      <c r="AE1688" s="340"/>
      <c r="AI1688" s="340"/>
      <c r="AN1688" s="340"/>
      <c r="AO1688" s="340"/>
      <c r="AS1688" s="340"/>
      <c r="AX1688" s="340"/>
      <c r="BB1688" s="340"/>
      <c r="BD1688" s="339"/>
    </row>
    <row r="1689" spans="7:56" s="338" customFormat="1">
      <c r="G1689" s="340"/>
      <c r="L1689" s="340"/>
      <c r="P1689" s="340"/>
      <c r="U1689" s="340"/>
      <c r="V1689" s="340"/>
      <c r="Z1689" s="340"/>
      <c r="AE1689" s="340"/>
      <c r="AI1689" s="340"/>
      <c r="AN1689" s="340"/>
      <c r="AO1689" s="340"/>
      <c r="AS1689" s="340"/>
      <c r="AX1689" s="340"/>
      <c r="BB1689" s="340"/>
      <c r="BD1689" s="339"/>
    </row>
    <row r="1690" spans="7:56" s="338" customFormat="1">
      <c r="G1690" s="340"/>
      <c r="L1690" s="340"/>
      <c r="P1690" s="340"/>
      <c r="U1690" s="340"/>
      <c r="V1690" s="340"/>
      <c r="Z1690" s="340"/>
      <c r="AE1690" s="340"/>
      <c r="AI1690" s="340"/>
      <c r="AN1690" s="340"/>
      <c r="AO1690" s="340"/>
      <c r="AS1690" s="340"/>
      <c r="AX1690" s="340"/>
      <c r="BB1690" s="340"/>
      <c r="BD1690" s="339"/>
    </row>
    <row r="1691" spans="7:56" s="338" customFormat="1">
      <c r="G1691" s="340"/>
      <c r="L1691" s="340"/>
      <c r="P1691" s="340"/>
      <c r="U1691" s="340"/>
      <c r="V1691" s="340"/>
      <c r="Z1691" s="340"/>
      <c r="AE1691" s="340"/>
      <c r="AI1691" s="340"/>
      <c r="AN1691" s="340"/>
      <c r="AO1691" s="340"/>
      <c r="AS1691" s="340"/>
      <c r="AX1691" s="340"/>
      <c r="BB1691" s="340"/>
      <c r="BD1691" s="339"/>
    </row>
    <row r="1692" spans="7:56" s="338" customFormat="1">
      <c r="G1692" s="340"/>
      <c r="L1692" s="340"/>
      <c r="P1692" s="340"/>
      <c r="U1692" s="340"/>
      <c r="V1692" s="340"/>
      <c r="Z1692" s="340"/>
      <c r="AE1692" s="340"/>
      <c r="AI1692" s="340"/>
      <c r="AN1692" s="340"/>
      <c r="AO1692" s="340"/>
      <c r="AS1692" s="340"/>
      <c r="AX1692" s="340"/>
      <c r="BB1692" s="340"/>
      <c r="BD1692" s="339"/>
    </row>
    <row r="1693" spans="7:56" s="338" customFormat="1">
      <c r="G1693" s="340"/>
      <c r="L1693" s="340"/>
      <c r="P1693" s="340"/>
      <c r="U1693" s="340"/>
      <c r="V1693" s="340"/>
      <c r="Z1693" s="340"/>
      <c r="AE1693" s="340"/>
      <c r="AI1693" s="340"/>
      <c r="AN1693" s="340"/>
      <c r="AO1693" s="340"/>
      <c r="AS1693" s="340"/>
      <c r="AX1693" s="340"/>
      <c r="BB1693" s="340"/>
      <c r="BD1693" s="339"/>
    </row>
    <row r="1694" spans="7:56" s="338" customFormat="1">
      <c r="G1694" s="340"/>
      <c r="L1694" s="340"/>
      <c r="P1694" s="340"/>
      <c r="U1694" s="340"/>
      <c r="V1694" s="340"/>
      <c r="Z1694" s="340"/>
      <c r="AE1694" s="340"/>
      <c r="AI1694" s="340"/>
      <c r="AN1694" s="340"/>
      <c r="AO1694" s="340"/>
      <c r="AS1694" s="340"/>
      <c r="AX1694" s="340"/>
      <c r="BB1694" s="340"/>
      <c r="BD1694" s="339"/>
    </row>
    <row r="1695" spans="7:56" s="338" customFormat="1">
      <c r="G1695" s="340"/>
      <c r="L1695" s="340"/>
      <c r="P1695" s="340"/>
      <c r="U1695" s="340"/>
      <c r="V1695" s="340"/>
      <c r="Z1695" s="340"/>
      <c r="AE1695" s="340"/>
      <c r="AI1695" s="340"/>
      <c r="AN1695" s="340"/>
      <c r="AO1695" s="340"/>
      <c r="AS1695" s="340"/>
      <c r="AX1695" s="340"/>
      <c r="BB1695" s="340"/>
      <c r="BD1695" s="339"/>
    </row>
    <row r="1696" spans="7:56" s="338" customFormat="1">
      <c r="G1696" s="340"/>
      <c r="L1696" s="340"/>
      <c r="P1696" s="340"/>
      <c r="U1696" s="340"/>
      <c r="V1696" s="340"/>
      <c r="Z1696" s="340"/>
      <c r="AE1696" s="340"/>
      <c r="AI1696" s="340"/>
      <c r="AN1696" s="340"/>
      <c r="AO1696" s="340"/>
      <c r="AS1696" s="340"/>
      <c r="AX1696" s="340"/>
      <c r="BB1696" s="340"/>
      <c r="BD1696" s="339"/>
    </row>
    <row r="1697" spans="7:56" s="338" customFormat="1">
      <c r="G1697" s="340"/>
      <c r="L1697" s="340"/>
      <c r="P1697" s="340"/>
      <c r="U1697" s="340"/>
      <c r="V1697" s="340"/>
      <c r="Z1697" s="340"/>
      <c r="AE1697" s="340"/>
      <c r="AI1697" s="340"/>
      <c r="AN1697" s="340"/>
      <c r="AO1697" s="340"/>
      <c r="AS1697" s="340"/>
      <c r="AX1697" s="340"/>
      <c r="BB1697" s="340"/>
      <c r="BD1697" s="339"/>
    </row>
    <row r="1698" spans="7:56" s="338" customFormat="1">
      <c r="G1698" s="340"/>
      <c r="L1698" s="340"/>
      <c r="P1698" s="340"/>
      <c r="U1698" s="340"/>
      <c r="V1698" s="340"/>
      <c r="Z1698" s="340"/>
      <c r="AE1698" s="340"/>
      <c r="AI1698" s="340"/>
      <c r="AN1698" s="340"/>
      <c r="AO1698" s="340"/>
      <c r="AS1698" s="340"/>
      <c r="AX1698" s="340"/>
      <c r="BB1698" s="340"/>
      <c r="BD1698" s="339"/>
    </row>
    <row r="1699" spans="7:56" s="338" customFormat="1">
      <c r="G1699" s="340"/>
      <c r="L1699" s="340"/>
      <c r="P1699" s="340"/>
      <c r="U1699" s="340"/>
      <c r="V1699" s="340"/>
      <c r="Z1699" s="340"/>
      <c r="AE1699" s="340"/>
      <c r="AI1699" s="340"/>
      <c r="AN1699" s="340"/>
      <c r="AO1699" s="340"/>
      <c r="AS1699" s="340"/>
      <c r="AX1699" s="340"/>
      <c r="BB1699" s="340"/>
      <c r="BD1699" s="339"/>
    </row>
    <row r="1700" spans="7:56" s="338" customFormat="1">
      <c r="G1700" s="340"/>
      <c r="L1700" s="340"/>
      <c r="P1700" s="340"/>
      <c r="U1700" s="340"/>
      <c r="V1700" s="340"/>
      <c r="Z1700" s="340"/>
      <c r="AE1700" s="340"/>
      <c r="AI1700" s="340"/>
      <c r="AN1700" s="340"/>
      <c r="AO1700" s="340"/>
      <c r="AS1700" s="340"/>
      <c r="AX1700" s="340"/>
      <c r="BB1700" s="340"/>
      <c r="BD1700" s="339"/>
    </row>
    <row r="1701" spans="7:56" s="338" customFormat="1">
      <c r="G1701" s="340"/>
      <c r="L1701" s="340"/>
      <c r="P1701" s="340"/>
      <c r="U1701" s="340"/>
      <c r="V1701" s="340"/>
      <c r="Z1701" s="340"/>
      <c r="AE1701" s="340"/>
      <c r="AI1701" s="340"/>
      <c r="AN1701" s="340"/>
      <c r="AO1701" s="340"/>
      <c r="AS1701" s="340"/>
      <c r="AX1701" s="340"/>
      <c r="BB1701" s="340"/>
      <c r="BD1701" s="339"/>
    </row>
    <row r="1702" spans="7:56" s="338" customFormat="1">
      <c r="G1702" s="340"/>
      <c r="L1702" s="340"/>
      <c r="P1702" s="340"/>
      <c r="U1702" s="340"/>
      <c r="V1702" s="340"/>
      <c r="Z1702" s="340"/>
      <c r="AE1702" s="340"/>
      <c r="AI1702" s="340"/>
      <c r="AN1702" s="340"/>
      <c r="AO1702" s="340"/>
      <c r="AS1702" s="340"/>
      <c r="AX1702" s="340"/>
      <c r="BB1702" s="340"/>
      <c r="BD1702" s="339"/>
    </row>
    <row r="1703" spans="7:56" s="338" customFormat="1">
      <c r="G1703" s="340"/>
      <c r="L1703" s="340"/>
      <c r="P1703" s="340"/>
      <c r="U1703" s="340"/>
      <c r="V1703" s="340"/>
      <c r="Z1703" s="340"/>
      <c r="AE1703" s="340"/>
      <c r="AI1703" s="340"/>
      <c r="AN1703" s="340"/>
      <c r="AO1703" s="340"/>
      <c r="AS1703" s="340"/>
      <c r="AX1703" s="340"/>
      <c r="BB1703" s="340"/>
      <c r="BD1703" s="339"/>
    </row>
    <row r="1704" spans="7:56" s="338" customFormat="1">
      <c r="G1704" s="340"/>
      <c r="L1704" s="340"/>
      <c r="P1704" s="340"/>
      <c r="U1704" s="340"/>
      <c r="V1704" s="340"/>
      <c r="Z1704" s="340"/>
      <c r="AE1704" s="340"/>
      <c r="AI1704" s="340"/>
      <c r="AN1704" s="340"/>
      <c r="AO1704" s="340"/>
      <c r="AS1704" s="340"/>
      <c r="AX1704" s="340"/>
      <c r="BB1704" s="340"/>
      <c r="BD1704" s="339"/>
    </row>
    <row r="1705" spans="7:56" s="338" customFormat="1">
      <c r="G1705" s="340"/>
      <c r="L1705" s="340"/>
      <c r="P1705" s="340"/>
      <c r="U1705" s="340"/>
      <c r="V1705" s="340"/>
      <c r="Z1705" s="340"/>
      <c r="AE1705" s="340"/>
      <c r="AI1705" s="340"/>
      <c r="AN1705" s="340"/>
      <c r="AO1705" s="340"/>
      <c r="AS1705" s="340"/>
      <c r="AX1705" s="340"/>
      <c r="BB1705" s="340"/>
      <c r="BD1705" s="339"/>
    </row>
    <row r="1706" spans="7:56" s="338" customFormat="1">
      <c r="G1706" s="340"/>
      <c r="L1706" s="340"/>
      <c r="P1706" s="340"/>
      <c r="U1706" s="340"/>
      <c r="V1706" s="340"/>
      <c r="Z1706" s="340"/>
      <c r="AE1706" s="340"/>
      <c r="AI1706" s="340"/>
      <c r="AN1706" s="340"/>
      <c r="AO1706" s="340"/>
      <c r="AS1706" s="340"/>
      <c r="AX1706" s="340"/>
      <c r="BB1706" s="340"/>
      <c r="BD1706" s="339"/>
    </row>
    <row r="1707" spans="7:56" s="338" customFormat="1">
      <c r="G1707" s="340"/>
      <c r="L1707" s="340"/>
      <c r="P1707" s="340"/>
      <c r="U1707" s="340"/>
      <c r="V1707" s="340"/>
      <c r="Z1707" s="340"/>
      <c r="AE1707" s="340"/>
      <c r="AI1707" s="340"/>
      <c r="AN1707" s="340"/>
      <c r="AO1707" s="340"/>
      <c r="AS1707" s="340"/>
      <c r="AX1707" s="340"/>
      <c r="BB1707" s="340"/>
      <c r="BD1707" s="339"/>
    </row>
    <row r="1708" spans="7:56" s="338" customFormat="1">
      <c r="G1708" s="340"/>
      <c r="L1708" s="340"/>
      <c r="P1708" s="340"/>
      <c r="U1708" s="340"/>
      <c r="V1708" s="340"/>
      <c r="Z1708" s="340"/>
      <c r="AE1708" s="340"/>
      <c r="AI1708" s="340"/>
      <c r="AN1708" s="340"/>
      <c r="AO1708" s="340"/>
      <c r="AS1708" s="340"/>
      <c r="AX1708" s="340"/>
      <c r="BB1708" s="340"/>
      <c r="BD1708" s="339"/>
    </row>
    <row r="1709" spans="7:56" s="338" customFormat="1">
      <c r="G1709" s="340"/>
      <c r="L1709" s="340"/>
      <c r="P1709" s="340"/>
      <c r="U1709" s="340"/>
      <c r="V1709" s="340"/>
      <c r="Z1709" s="340"/>
      <c r="AE1709" s="340"/>
      <c r="AI1709" s="340"/>
      <c r="AN1709" s="340"/>
      <c r="AO1709" s="340"/>
      <c r="AS1709" s="340"/>
      <c r="AX1709" s="340"/>
      <c r="BB1709" s="340"/>
      <c r="BD1709" s="339"/>
    </row>
    <row r="1710" spans="7:56" s="338" customFormat="1">
      <c r="G1710" s="340"/>
      <c r="L1710" s="340"/>
      <c r="P1710" s="340"/>
      <c r="U1710" s="340"/>
      <c r="V1710" s="340"/>
      <c r="Z1710" s="340"/>
      <c r="AE1710" s="340"/>
      <c r="AI1710" s="340"/>
      <c r="AN1710" s="340"/>
      <c r="AO1710" s="340"/>
      <c r="AS1710" s="340"/>
      <c r="AX1710" s="340"/>
      <c r="BB1710" s="340"/>
      <c r="BD1710" s="339"/>
    </row>
    <row r="1711" spans="7:56" s="338" customFormat="1">
      <c r="G1711" s="340"/>
      <c r="L1711" s="340"/>
      <c r="P1711" s="340"/>
      <c r="U1711" s="340"/>
      <c r="V1711" s="340"/>
      <c r="Z1711" s="340"/>
      <c r="AE1711" s="340"/>
      <c r="AI1711" s="340"/>
      <c r="AN1711" s="340"/>
      <c r="AO1711" s="340"/>
      <c r="AS1711" s="340"/>
      <c r="AX1711" s="340"/>
      <c r="BB1711" s="340"/>
      <c r="BD1711" s="339"/>
    </row>
    <row r="1712" spans="7:56" s="338" customFormat="1">
      <c r="G1712" s="340"/>
      <c r="L1712" s="340"/>
      <c r="P1712" s="340"/>
      <c r="U1712" s="340"/>
      <c r="V1712" s="340"/>
      <c r="Z1712" s="340"/>
      <c r="AE1712" s="340"/>
      <c r="AI1712" s="340"/>
      <c r="AN1712" s="340"/>
      <c r="AO1712" s="340"/>
      <c r="AS1712" s="340"/>
      <c r="AX1712" s="340"/>
      <c r="BB1712" s="340"/>
      <c r="BD1712" s="339"/>
    </row>
    <row r="1713" spans="7:56" s="338" customFormat="1">
      <c r="G1713" s="340"/>
      <c r="L1713" s="340"/>
      <c r="P1713" s="340"/>
      <c r="U1713" s="340"/>
      <c r="V1713" s="340"/>
      <c r="Z1713" s="340"/>
      <c r="AE1713" s="340"/>
      <c r="AI1713" s="340"/>
      <c r="AN1713" s="340"/>
      <c r="AO1713" s="340"/>
      <c r="AS1713" s="340"/>
      <c r="AX1713" s="340"/>
      <c r="BB1713" s="340"/>
      <c r="BD1713" s="339"/>
    </row>
    <row r="1714" spans="7:56" s="338" customFormat="1">
      <c r="G1714" s="340"/>
      <c r="L1714" s="340"/>
      <c r="P1714" s="340"/>
      <c r="U1714" s="340"/>
      <c r="V1714" s="340"/>
      <c r="Z1714" s="340"/>
      <c r="AE1714" s="340"/>
      <c r="AI1714" s="340"/>
      <c r="AN1714" s="340"/>
      <c r="AO1714" s="340"/>
      <c r="AS1714" s="340"/>
      <c r="AX1714" s="340"/>
      <c r="BB1714" s="340"/>
      <c r="BD1714" s="339"/>
    </row>
    <row r="1715" spans="7:56" s="338" customFormat="1">
      <c r="G1715" s="340"/>
      <c r="L1715" s="340"/>
      <c r="P1715" s="340"/>
      <c r="U1715" s="340"/>
      <c r="V1715" s="340"/>
      <c r="Z1715" s="340"/>
      <c r="AE1715" s="340"/>
      <c r="AI1715" s="340"/>
      <c r="AN1715" s="340"/>
      <c r="AO1715" s="340"/>
      <c r="AS1715" s="340"/>
      <c r="AX1715" s="340"/>
      <c r="BB1715" s="340"/>
      <c r="BD1715" s="339"/>
    </row>
    <row r="1716" spans="7:56" s="338" customFormat="1">
      <c r="G1716" s="340"/>
      <c r="L1716" s="340"/>
      <c r="P1716" s="340"/>
      <c r="U1716" s="340"/>
      <c r="V1716" s="340"/>
      <c r="Z1716" s="340"/>
      <c r="AE1716" s="340"/>
      <c r="AI1716" s="340"/>
      <c r="AN1716" s="340"/>
      <c r="AO1716" s="340"/>
      <c r="AS1716" s="340"/>
      <c r="AX1716" s="340"/>
      <c r="BB1716" s="340"/>
      <c r="BD1716" s="339"/>
    </row>
    <row r="1717" spans="7:56" s="338" customFormat="1">
      <c r="G1717" s="340"/>
      <c r="L1717" s="340"/>
      <c r="P1717" s="340"/>
      <c r="U1717" s="340"/>
      <c r="V1717" s="340"/>
      <c r="Z1717" s="340"/>
      <c r="AE1717" s="340"/>
      <c r="AI1717" s="340"/>
      <c r="AN1717" s="340"/>
      <c r="AO1717" s="340"/>
      <c r="AS1717" s="340"/>
      <c r="AX1717" s="340"/>
      <c r="BB1717" s="340"/>
      <c r="BD1717" s="339"/>
    </row>
    <row r="1718" spans="7:56" s="338" customFormat="1">
      <c r="G1718" s="340"/>
      <c r="L1718" s="340"/>
      <c r="P1718" s="340"/>
      <c r="U1718" s="340"/>
      <c r="V1718" s="340"/>
      <c r="Z1718" s="340"/>
      <c r="AE1718" s="340"/>
      <c r="AI1718" s="340"/>
      <c r="AN1718" s="340"/>
      <c r="AO1718" s="340"/>
      <c r="AS1718" s="340"/>
      <c r="AX1718" s="340"/>
      <c r="BB1718" s="340"/>
      <c r="BD1718" s="339"/>
    </row>
    <row r="1719" spans="7:56" s="338" customFormat="1">
      <c r="G1719" s="340"/>
      <c r="L1719" s="340"/>
      <c r="P1719" s="340"/>
      <c r="U1719" s="340"/>
      <c r="V1719" s="340"/>
      <c r="Z1719" s="340"/>
      <c r="AE1719" s="340"/>
      <c r="AI1719" s="340"/>
      <c r="AN1719" s="340"/>
      <c r="AO1719" s="340"/>
      <c r="AS1719" s="340"/>
      <c r="AX1719" s="340"/>
      <c r="BB1719" s="340"/>
      <c r="BD1719" s="339"/>
    </row>
    <row r="1720" spans="7:56" s="338" customFormat="1">
      <c r="G1720" s="340"/>
      <c r="L1720" s="340"/>
      <c r="P1720" s="340"/>
      <c r="U1720" s="340"/>
      <c r="V1720" s="340"/>
      <c r="Z1720" s="340"/>
      <c r="AE1720" s="340"/>
      <c r="AI1720" s="340"/>
      <c r="AN1720" s="340"/>
      <c r="AO1720" s="340"/>
      <c r="AS1720" s="340"/>
      <c r="AX1720" s="340"/>
      <c r="BB1720" s="340"/>
      <c r="BD1720" s="339"/>
    </row>
    <row r="1721" spans="7:56" s="338" customFormat="1">
      <c r="G1721" s="340"/>
      <c r="L1721" s="340"/>
      <c r="P1721" s="340"/>
      <c r="U1721" s="340"/>
      <c r="V1721" s="340"/>
      <c r="Z1721" s="340"/>
      <c r="AE1721" s="340"/>
      <c r="AI1721" s="340"/>
      <c r="AN1721" s="340"/>
      <c r="AO1721" s="340"/>
      <c r="AS1721" s="340"/>
      <c r="AX1721" s="340"/>
      <c r="BB1721" s="340"/>
      <c r="BD1721" s="339"/>
    </row>
    <row r="1722" spans="7:56" s="338" customFormat="1">
      <c r="G1722" s="340"/>
      <c r="L1722" s="340"/>
      <c r="P1722" s="340"/>
      <c r="U1722" s="340"/>
      <c r="V1722" s="340"/>
      <c r="Z1722" s="340"/>
      <c r="AE1722" s="340"/>
      <c r="AI1722" s="340"/>
      <c r="AN1722" s="340"/>
      <c r="AO1722" s="340"/>
      <c r="AS1722" s="340"/>
      <c r="AX1722" s="340"/>
      <c r="BB1722" s="340"/>
      <c r="BD1722" s="339"/>
    </row>
    <row r="1723" spans="7:56" s="338" customFormat="1">
      <c r="G1723" s="340"/>
      <c r="L1723" s="340"/>
      <c r="P1723" s="340"/>
      <c r="U1723" s="340"/>
      <c r="V1723" s="340"/>
      <c r="Z1723" s="340"/>
      <c r="AE1723" s="340"/>
      <c r="AI1723" s="340"/>
      <c r="AN1723" s="340"/>
      <c r="AO1723" s="340"/>
      <c r="AS1723" s="340"/>
      <c r="AX1723" s="340"/>
      <c r="BB1723" s="340"/>
      <c r="BD1723" s="339"/>
    </row>
    <row r="1724" spans="7:56" s="338" customFormat="1">
      <c r="G1724" s="340"/>
      <c r="L1724" s="340"/>
      <c r="P1724" s="340"/>
      <c r="U1724" s="340"/>
      <c r="V1724" s="340"/>
      <c r="Z1724" s="340"/>
      <c r="AE1724" s="340"/>
      <c r="AI1724" s="340"/>
      <c r="AN1724" s="340"/>
      <c r="AO1724" s="340"/>
      <c r="AS1724" s="340"/>
      <c r="AX1724" s="340"/>
      <c r="BB1724" s="340"/>
      <c r="BD1724" s="339"/>
    </row>
    <row r="1725" spans="7:56" s="338" customFormat="1">
      <c r="G1725" s="340"/>
      <c r="L1725" s="340"/>
      <c r="P1725" s="340"/>
      <c r="U1725" s="340"/>
      <c r="V1725" s="340"/>
      <c r="Z1725" s="340"/>
      <c r="AE1725" s="340"/>
      <c r="AI1725" s="340"/>
      <c r="AN1725" s="340"/>
      <c r="AO1725" s="340"/>
      <c r="AS1725" s="340"/>
      <c r="AX1725" s="340"/>
      <c r="BB1725" s="340"/>
      <c r="BD1725" s="339"/>
    </row>
    <row r="1726" spans="7:56" s="338" customFormat="1">
      <c r="G1726" s="340"/>
      <c r="L1726" s="340"/>
      <c r="P1726" s="340"/>
      <c r="U1726" s="340"/>
      <c r="V1726" s="340"/>
      <c r="Z1726" s="340"/>
      <c r="AE1726" s="340"/>
      <c r="AI1726" s="340"/>
      <c r="AN1726" s="340"/>
      <c r="AO1726" s="340"/>
      <c r="AS1726" s="340"/>
      <c r="AX1726" s="340"/>
      <c r="BB1726" s="340"/>
      <c r="BD1726" s="339"/>
    </row>
    <row r="1727" spans="7:56" s="338" customFormat="1">
      <c r="G1727" s="340"/>
      <c r="L1727" s="340"/>
      <c r="P1727" s="340"/>
      <c r="U1727" s="340"/>
      <c r="V1727" s="340"/>
      <c r="Z1727" s="340"/>
      <c r="AE1727" s="340"/>
      <c r="AI1727" s="340"/>
      <c r="AN1727" s="340"/>
      <c r="AO1727" s="340"/>
      <c r="AS1727" s="340"/>
      <c r="AX1727" s="340"/>
      <c r="BB1727" s="340"/>
      <c r="BD1727" s="339"/>
    </row>
    <row r="1728" spans="7:56" s="338" customFormat="1">
      <c r="G1728" s="340"/>
      <c r="L1728" s="340"/>
      <c r="P1728" s="340"/>
      <c r="U1728" s="340"/>
      <c r="V1728" s="340"/>
      <c r="Z1728" s="340"/>
      <c r="AE1728" s="340"/>
      <c r="AI1728" s="340"/>
      <c r="AN1728" s="340"/>
      <c r="AO1728" s="340"/>
      <c r="AS1728" s="340"/>
      <c r="AX1728" s="340"/>
      <c r="BB1728" s="340"/>
      <c r="BD1728" s="339"/>
    </row>
    <row r="1729" spans="7:56" s="338" customFormat="1">
      <c r="G1729" s="340"/>
      <c r="L1729" s="340"/>
      <c r="P1729" s="340"/>
      <c r="U1729" s="340"/>
      <c r="V1729" s="340"/>
      <c r="Z1729" s="340"/>
      <c r="AE1729" s="340"/>
      <c r="AI1729" s="340"/>
      <c r="AN1729" s="340"/>
      <c r="AO1729" s="340"/>
      <c r="AS1729" s="340"/>
      <c r="AX1729" s="340"/>
      <c r="BB1729" s="340"/>
      <c r="BD1729" s="339"/>
    </row>
    <row r="1730" spans="7:56" s="338" customFormat="1">
      <c r="G1730" s="340"/>
      <c r="L1730" s="340"/>
      <c r="P1730" s="340"/>
      <c r="U1730" s="340"/>
      <c r="V1730" s="340"/>
      <c r="Z1730" s="340"/>
      <c r="AE1730" s="340"/>
      <c r="AI1730" s="340"/>
      <c r="AN1730" s="340"/>
      <c r="AO1730" s="340"/>
      <c r="AS1730" s="340"/>
      <c r="AX1730" s="340"/>
      <c r="BB1730" s="340"/>
      <c r="BD1730" s="339"/>
    </row>
    <row r="1731" spans="7:56" s="338" customFormat="1">
      <c r="G1731" s="340"/>
      <c r="L1731" s="340"/>
      <c r="P1731" s="340"/>
      <c r="U1731" s="340"/>
      <c r="V1731" s="340"/>
      <c r="Z1731" s="340"/>
      <c r="AE1731" s="340"/>
      <c r="AI1731" s="340"/>
      <c r="AN1731" s="340"/>
      <c r="AO1731" s="340"/>
      <c r="AS1731" s="340"/>
      <c r="AX1731" s="340"/>
      <c r="BB1731" s="340"/>
      <c r="BD1731" s="339"/>
    </row>
    <row r="1732" spans="7:56" s="338" customFormat="1">
      <c r="G1732" s="340"/>
      <c r="L1732" s="340"/>
      <c r="P1732" s="340"/>
      <c r="U1732" s="340"/>
      <c r="V1732" s="340"/>
      <c r="Z1732" s="340"/>
      <c r="AE1732" s="340"/>
      <c r="AI1732" s="340"/>
      <c r="AN1732" s="340"/>
      <c r="AO1732" s="340"/>
      <c r="AS1732" s="340"/>
      <c r="AX1732" s="340"/>
      <c r="BB1732" s="340"/>
      <c r="BD1732" s="339"/>
    </row>
    <row r="1733" spans="7:56" s="338" customFormat="1">
      <c r="G1733" s="340"/>
      <c r="L1733" s="340"/>
      <c r="P1733" s="340"/>
      <c r="U1733" s="340"/>
      <c r="V1733" s="340"/>
      <c r="Z1733" s="340"/>
      <c r="AE1733" s="340"/>
      <c r="AI1733" s="340"/>
      <c r="AN1733" s="340"/>
      <c r="AO1733" s="340"/>
      <c r="AS1733" s="340"/>
      <c r="AX1733" s="340"/>
      <c r="BB1733" s="340"/>
      <c r="BD1733" s="339"/>
    </row>
    <row r="1734" spans="7:56" s="338" customFormat="1">
      <c r="G1734" s="340"/>
      <c r="L1734" s="340"/>
      <c r="P1734" s="340"/>
      <c r="U1734" s="340"/>
      <c r="V1734" s="340"/>
      <c r="Z1734" s="340"/>
      <c r="AE1734" s="340"/>
      <c r="AI1734" s="340"/>
      <c r="AN1734" s="340"/>
      <c r="AO1734" s="340"/>
      <c r="AS1734" s="340"/>
      <c r="AX1734" s="340"/>
      <c r="BB1734" s="340"/>
      <c r="BD1734" s="339"/>
    </row>
    <row r="1735" spans="7:56" s="338" customFormat="1">
      <c r="G1735" s="340"/>
      <c r="L1735" s="340"/>
      <c r="P1735" s="340"/>
      <c r="U1735" s="340"/>
      <c r="V1735" s="340"/>
      <c r="Z1735" s="340"/>
      <c r="AE1735" s="340"/>
      <c r="AI1735" s="340"/>
      <c r="AN1735" s="340"/>
      <c r="AO1735" s="340"/>
      <c r="AS1735" s="340"/>
      <c r="AX1735" s="340"/>
      <c r="BB1735" s="340"/>
      <c r="BD1735" s="339"/>
    </row>
    <row r="1736" spans="7:56" s="338" customFormat="1">
      <c r="G1736" s="340"/>
      <c r="L1736" s="340"/>
      <c r="P1736" s="340"/>
      <c r="U1736" s="340"/>
      <c r="V1736" s="340"/>
      <c r="Z1736" s="340"/>
      <c r="AE1736" s="340"/>
      <c r="AI1736" s="340"/>
      <c r="AN1736" s="340"/>
      <c r="AO1736" s="340"/>
      <c r="AS1736" s="340"/>
      <c r="AX1736" s="340"/>
      <c r="BB1736" s="340"/>
      <c r="BD1736" s="339"/>
    </row>
    <row r="1737" spans="7:56" s="338" customFormat="1">
      <c r="G1737" s="340"/>
      <c r="L1737" s="340"/>
      <c r="P1737" s="340"/>
      <c r="U1737" s="340"/>
      <c r="V1737" s="340"/>
      <c r="Z1737" s="340"/>
      <c r="AE1737" s="340"/>
      <c r="AI1737" s="340"/>
      <c r="AN1737" s="340"/>
      <c r="AO1737" s="340"/>
      <c r="AS1737" s="340"/>
      <c r="AX1737" s="340"/>
      <c r="BB1737" s="340"/>
      <c r="BD1737" s="339"/>
    </row>
    <row r="1738" spans="7:56" s="338" customFormat="1">
      <c r="G1738" s="340"/>
      <c r="L1738" s="340"/>
      <c r="P1738" s="340"/>
      <c r="U1738" s="340"/>
      <c r="V1738" s="340"/>
      <c r="Z1738" s="340"/>
      <c r="AE1738" s="340"/>
      <c r="AI1738" s="340"/>
      <c r="AN1738" s="340"/>
      <c r="AO1738" s="340"/>
      <c r="AS1738" s="340"/>
      <c r="AX1738" s="340"/>
      <c r="BB1738" s="340"/>
      <c r="BD1738" s="339"/>
    </row>
    <row r="1739" spans="7:56" s="338" customFormat="1">
      <c r="G1739" s="340"/>
      <c r="L1739" s="340"/>
      <c r="P1739" s="340"/>
      <c r="U1739" s="340"/>
      <c r="V1739" s="340"/>
      <c r="Z1739" s="340"/>
      <c r="AE1739" s="340"/>
      <c r="AI1739" s="340"/>
      <c r="AN1739" s="340"/>
      <c r="AO1739" s="340"/>
      <c r="AS1739" s="340"/>
      <c r="AX1739" s="340"/>
      <c r="BB1739" s="340"/>
      <c r="BD1739" s="339"/>
    </row>
    <row r="1740" spans="7:56" s="338" customFormat="1">
      <c r="G1740" s="340"/>
      <c r="L1740" s="340"/>
      <c r="P1740" s="340"/>
      <c r="U1740" s="340"/>
      <c r="V1740" s="340"/>
      <c r="Z1740" s="340"/>
      <c r="AE1740" s="340"/>
      <c r="AI1740" s="340"/>
      <c r="AN1740" s="340"/>
      <c r="AO1740" s="340"/>
      <c r="AS1740" s="340"/>
      <c r="AX1740" s="340"/>
      <c r="BB1740" s="340"/>
      <c r="BD1740" s="339"/>
    </row>
    <row r="1741" spans="7:56" s="338" customFormat="1">
      <c r="G1741" s="340"/>
      <c r="L1741" s="340"/>
      <c r="P1741" s="340"/>
      <c r="U1741" s="340"/>
      <c r="V1741" s="340"/>
      <c r="Z1741" s="340"/>
      <c r="AE1741" s="340"/>
      <c r="AI1741" s="340"/>
      <c r="AN1741" s="340"/>
      <c r="AO1741" s="340"/>
      <c r="AS1741" s="340"/>
      <c r="AX1741" s="340"/>
      <c r="BB1741" s="340"/>
      <c r="BD1741" s="339"/>
    </row>
    <row r="1742" spans="7:56" s="338" customFormat="1">
      <c r="G1742" s="340"/>
      <c r="L1742" s="340"/>
      <c r="P1742" s="340"/>
      <c r="U1742" s="340"/>
      <c r="V1742" s="340"/>
      <c r="Z1742" s="340"/>
      <c r="AE1742" s="340"/>
      <c r="AI1742" s="340"/>
      <c r="AN1742" s="340"/>
      <c r="AO1742" s="340"/>
      <c r="AS1742" s="340"/>
      <c r="AX1742" s="340"/>
      <c r="BB1742" s="340"/>
      <c r="BD1742" s="339"/>
    </row>
    <row r="1743" spans="7:56" s="338" customFormat="1">
      <c r="G1743" s="340"/>
      <c r="L1743" s="340"/>
      <c r="P1743" s="340"/>
      <c r="U1743" s="340"/>
      <c r="V1743" s="340"/>
      <c r="Z1743" s="340"/>
      <c r="AE1743" s="340"/>
      <c r="AI1743" s="340"/>
      <c r="AN1743" s="340"/>
      <c r="AO1743" s="340"/>
      <c r="AS1743" s="340"/>
      <c r="AX1743" s="340"/>
      <c r="BB1743" s="340"/>
      <c r="BD1743" s="339"/>
    </row>
    <row r="1744" spans="7:56" s="338" customFormat="1">
      <c r="G1744" s="340"/>
      <c r="L1744" s="340"/>
      <c r="P1744" s="340"/>
      <c r="U1744" s="340"/>
      <c r="V1744" s="340"/>
      <c r="Z1744" s="340"/>
      <c r="AE1744" s="340"/>
      <c r="AI1744" s="340"/>
      <c r="AN1744" s="340"/>
      <c r="AO1744" s="340"/>
      <c r="AS1744" s="340"/>
      <c r="AX1744" s="340"/>
      <c r="BB1744" s="340"/>
      <c r="BD1744" s="339"/>
    </row>
    <row r="1745" spans="7:56" s="338" customFormat="1">
      <c r="G1745" s="340"/>
      <c r="L1745" s="340"/>
      <c r="P1745" s="340"/>
      <c r="U1745" s="340"/>
      <c r="V1745" s="340"/>
      <c r="Z1745" s="340"/>
      <c r="AE1745" s="340"/>
      <c r="AI1745" s="340"/>
      <c r="AN1745" s="340"/>
      <c r="AO1745" s="340"/>
      <c r="AS1745" s="340"/>
      <c r="AX1745" s="340"/>
      <c r="BB1745" s="340"/>
      <c r="BD1745" s="339"/>
    </row>
    <row r="1746" spans="7:56" s="338" customFormat="1">
      <c r="G1746" s="340"/>
      <c r="L1746" s="340"/>
      <c r="P1746" s="340"/>
      <c r="U1746" s="340"/>
      <c r="V1746" s="340"/>
      <c r="Z1746" s="340"/>
      <c r="AE1746" s="340"/>
      <c r="AI1746" s="340"/>
      <c r="AN1746" s="340"/>
      <c r="AO1746" s="340"/>
      <c r="AS1746" s="340"/>
      <c r="AX1746" s="340"/>
      <c r="BB1746" s="340"/>
      <c r="BD1746" s="339"/>
    </row>
    <row r="1747" spans="7:56" s="338" customFormat="1">
      <c r="G1747" s="340"/>
      <c r="L1747" s="340"/>
      <c r="P1747" s="340"/>
      <c r="U1747" s="340"/>
      <c r="V1747" s="340"/>
      <c r="Z1747" s="340"/>
      <c r="AE1747" s="340"/>
      <c r="AI1747" s="340"/>
      <c r="AN1747" s="340"/>
      <c r="AO1747" s="340"/>
      <c r="AS1747" s="340"/>
      <c r="AX1747" s="340"/>
      <c r="BB1747" s="340"/>
      <c r="BD1747" s="339"/>
    </row>
    <row r="1748" spans="7:56" s="338" customFormat="1">
      <c r="G1748" s="340"/>
      <c r="L1748" s="340"/>
      <c r="P1748" s="340"/>
      <c r="U1748" s="340"/>
      <c r="V1748" s="340"/>
      <c r="Z1748" s="340"/>
      <c r="AE1748" s="340"/>
      <c r="AI1748" s="340"/>
      <c r="AN1748" s="340"/>
      <c r="AO1748" s="340"/>
      <c r="AS1748" s="340"/>
      <c r="AX1748" s="340"/>
      <c r="BB1748" s="340"/>
      <c r="BD1748" s="339"/>
    </row>
    <row r="1749" spans="7:56" s="338" customFormat="1">
      <c r="G1749" s="340"/>
      <c r="L1749" s="340"/>
      <c r="P1749" s="340"/>
      <c r="U1749" s="340"/>
      <c r="V1749" s="340"/>
      <c r="Z1749" s="340"/>
      <c r="AE1749" s="340"/>
      <c r="AI1749" s="340"/>
      <c r="AN1749" s="340"/>
      <c r="AO1749" s="340"/>
      <c r="AS1749" s="340"/>
      <c r="AX1749" s="340"/>
      <c r="BB1749" s="340"/>
      <c r="BD1749" s="339"/>
    </row>
    <row r="1750" spans="7:56" s="338" customFormat="1">
      <c r="G1750" s="340"/>
      <c r="L1750" s="340"/>
      <c r="P1750" s="340"/>
      <c r="U1750" s="340"/>
      <c r="V1750" s="340"/>
      <c r="Z1750" s="340"/>
      <c r="AE1750" s="340"/>
      <c r="AI1750" s="340"/>
      <c r="AN1750" s="340"/>
      <c r="AO1750" s="340"/>
      <c r="AS1750" s="340"/>
      <c r="AX1750" s="340"/>
      <c r="BB1750" s="340"/>
      <c r="BD1750" s="339"/>
    </row>
    <row r="1751" spans="7:56" s="338" customFormat="1">
      <c r="G1751" s="340"/>
      <c r="L1751" s="340"/>
      <c r="P1751" s="340"/>
      <c r="U1751" s="340"/>
      <c r="V1751" s="340"/>
      <c r="Z1751" s="340"/>
      <c r="AE1751" s="340"/>
      <c r="AI1751" s="340"/>
      <c r="AN1751" s="340"/>
      <c r="AO1751" s="340"/>
      <c r="AS1751" s="340"/>
      <c r="AX1751" s="340"/>
      <c r="BB1751" s="340"/>
      <c r="BD1751" s="339"/>
    </row>
    <row r="1752" spans="7:56" s="338" customFormat="1">
      <c r="G1752" s="340"/>
      <c r="L1752" s="340"/>
      <c r="P1752" s="340"/>
      <c r="U1752" s="340"/>
      <c r="V1752" s="340"/>
      <c r="Z1752" s="340"/>
      <c r="AE1752" s="340"/>
      <c r="AI1752" s="340"/>
      <c r="AN1752" s="340"/>
      <c r="AO1752" s="340"/>
      <c r="AS1752" s="340"/>
      <c r="AX1752" s="340"/>
      <c r="BB1752" s="340"/>
      <c r="BD1752" s="339"/>
    </row>
    <row r="1753" spans="7:56" s="338" customFormat="1">
      <c r="G1753" s="340"/>
      <c r="L1753" s="340"/>
      <c r="P1753" s="340"/>
      <c r="U1753" s="340"/>
      <c r="V1753" s="340"/>
      <c r="Z1753" s="340"/>
      <c r="AE1753" s="340"/>
      <c r="AI1753" s="340"/>
      <c r="AN1753" s="340"/>
      <c r="AO1753" s="340"/>
      <c r="AS1753" s="340"/>
      <c r="AX1753" s="340"/>
      <c r="BB1753" s="340"/>
      <c r="BD1753" s="339"/>
    </row>
    <row r="1754" spans="7:56" s="338" customFormat="1">
      <c r="G1754" s="340"/>
      <c r="L1754" s="340"/>
      <c r="P1754" s="340"/>
      <c r="U1754" s="340"/>
      <c r="V1754" s="340"/>
      <c r="Z1754" s="340"/>
      <c r="AE1754" s="340"/>
      <c r="AI1754" s="340"/>
      <c r="AN1754" s="340"/>
      <c r="AO1754" s="340"/>
      <c r="AS1754" s="340"/>
      <c r="AX1754" s="340"/>
      <c r="BB1754" s="340"/>
      <c r="BD1754" s="339"/>
    </row>
    <row r="1755" spans="7:56" s="338" customFormat="1">
      <c r="G1755" s="340"/>
      <c r="L1755" s="340"/>
      <c r="P1755" s="340"/>
      <c r="U1755" s="340"/>
      <c r="V1755" s="340"/>
      <c r="Z1755" s="340"/>
      <c r="AE1755" s="340"/>
      <c r="AI1755" s="340"/>
      <c r="AN1755" s="340"/>
      <c r="AO1755" s="340"/>
      <c r="AS1755" s="340"/>
      <c r="AX1755" s="340"/>
      <c r="BB1755" s="340"/>
      <c r="BD1755" s="339"/>
    </row>
    <row r="1756" spans="7:56" s="338" customFormat="1">
      <c r="G1756" s="340"/>
      <c r="L1756" s="340"/>
      <c r="P1756" s="340"/>
      <c r="U1756" s="340"/>
      <c r="V1756" s="340"/>
      <c r="Z1756" s="340"/>
      <c r="AE1756" s="340"/>
      <c r="AI1756" s="340"/>
      <c r="AN1756" s="340"/>
      <c r="AO1756" s="340"/>
      <c r="AS1756" s="340"/>
      <c r="AX1756" s="340"/>
      <c r="BB1756" s="340"/>
      <c r="BD1756" s="339"/>
    </row>
    <row r="1757" spans="7:56" s="338" customFormat="1">
      <c r="G1757" s="340"/>
      <c r="L1757" s="340"/>
      <c r="P1757" s="340"/>
      <c r="U1757" s="340"/>
      <c r="V1757" s="340"/>
      <c r="Z1757" s="340"/>
      <c r="AE1757" s="340"/>
      <c r="AI1757" s="340"/>
      <c r="AN1757" s="340"/>
      <c r="AO1757" s="340"/>
      <c r="AS1757" s="340"/>
      <c r="AX1757" s="340"/>
      <c r="BB1757" s="340"/>
      <c r="BD1757" s="339"/>
    </row>
    <row r="1758" spans="7:56" s="338" customFormat="1">
      <c r="G1758" s="340"/>
      <c r="L1758" s="340"/>
      <c r="P1758" s="340"/>
      <c r="U1758" s="340"/>
      <c r="V1758" s="340"/>
      <c r="Z1758" s="340"/>
      <c r="AE1758" s="340"/>
      <c r="AI1758" s="340"/>
      <c r="AN1758" s="340"/>
      <c r="AO1758" s="340"/>
      <c r="AS1758" s="340"/>
      <c r="AX1758" s="340"/>
      <c r="BB1758" s="340"/>
      <c r="BD1758" s="339"/>
    </row>
    <row r="1759" spans="7:56" s="338" customFormat="1">
      <c r="G1759" s="340"/>
      <c r="L1759" s="340"/>
      <c r="P1759" s="340"/>
      <c r="U1759" s="340"/>
      <c r="V1759" s="340"/>
      <c r="Z1759" s="340"/>
      <c r="AE1759" s="340"/>
      <c r="AI1759" s="340"/>
      <c r="AN1759" s="340"/>
      <c r="AO1759" s="340"/>
      <c r="AS1759" s="340"/>
      <c r="AX1759" s="340"/>
      <c r="BB1759" s="340"/>
      <c r="BD1759" s="339"/>
    </row>
    <row r="1760" spans="7:56" s="338" customFormat="1">
      <c r="G1760" s="340"/>
      <c r="L1760" s="340"/>
      <c r="P1760" s="340"/>
      <c r="U1760" s="340"/>
      <c r="V1760" s="340"/>
      <c r="Z1760" s="340"/>
      <c r="AE1760" s="340"/>
      <c r="AI1760" s="340"/>
      <c r="AN1760" s="340"/>
      <c r="AO1760" s="340"/>
      <c r="AS1760" s="340"/>
      <c r="AX1760" s="340"/>
      <c r="BB1760" s="340"/>
      <c r="BD1760" s="339"/>
    </row>
    <row r="1761" spans="7:56" s="338" customFormat="1">
      <c r="G1761" s="340"/>
      <c r="L1761" s="340"/>
      <c r="P1761" s="340"/>
      <c r="U1761" s="340"/>
      <c r="V1761" s="340"/>
      <c r="Z1761" s="340"/>
      <c r="AE1761" s="340"/>
      <c r="AI1761" s="340"/>
      <c r="AN1761" s="340"/>
      <c r="AO1761" s="340"/>
      <c r="AS1761" s="340"/>
      <c r="AX1761" s="340"/>
      <c r="BB1761" s="340"/>
      <c r="BD1761" s="339"/>
    </row>
    <row r="1762" spans="7:56" s="338" customFormat="1">
      <c r="G1762" s="340"/>
      <c r="L1762" s="340"/>
      <c r="P1762" s="340"/>
      <c r="U1762" s="340"/>
      <c r="V1762" s="340"/>
      <c r="Z1762" s="340"/>
      <c r="AE1762" s="340"/>
      <c r="AI1762" s="340"/>
      <c r="AN1762" s="340"/>
      <c r="AO1762" s="340"/>
      <c r="AS1762" s="340"/>
      <c r="AX1762" s="340"/>
      <c r="BB1762" s="340"/>
      <c r="BD1762" s="339"/>
    </row>
    <row r="1763" spans="7:56" s="338" customFormat="1">
      <c r="G1763" s="340"/>
      <c r="L1763" s="340"/>
      <c r="P1763" s="340"/>
      <c r="U1763" s="340"/>
      <c r="V1763" s="340"/>
      <c r="Z1763" s="340"/>
      <c r="AE1763" s="340"/>
      <c r="AI1763" s="340"/>
      <c r="AN1763" s="340"/>
      <c r="AO1763" s="340"/>
      <c r="AS1763" s="340"/>
      <c r="AX1763" s="340"/>
      <c r="BB1763" s="340"/>
      <c r="BD1763" s="339"/>
    </row>
    <row r="1764" spans="7:56" s="338" customFormat="1">
      <c r="G1764" s="340"/>
      <c r="L1764" s="340"/>
      <c r="P1764" s="340"/>
      <c r="U1764" s="340"/>
      <c r="V1764" s="340"/>
      <c r="Z1764" s="340"/>
      <c r="AE1764" s="340"/>
      <c r="AI1764" s="340"/>
      <c r="AN1764" s="340"/>
      <c r="AO1764" s="340"/>
      <c r="AS1764" s="340"/>
      <c r="AX1764" s="340"/>
      <c r="BB1764" s="340"/>
      <c r="BD1764" s="339"/>
    </row>
    <row r="1765" spans="7:56" s="338" customFormat="1">
      <c r="G1765" s="340"/>
      <c r="L1765" s="340"/>
      <c r="P1765" s="340"/>
      <c r="U1765" s="340"/>
      <c r="V1765" s="340"/>
      <c r="Z1765" s="340"/>
      <c r="AE1765" s="340"/>
      <c r="AI1765" s="340"/>
      <c r="AN1765" s="340"/>
      <c r="AO1765" s="340"/>
      <c r="AS1765" s="340"/>
      <c r="AX1765" s="340"/>
      <c r="BB1765" s="340"/>
      <c r="BD1765" s="339"/>
    </row>
    <row r="1766" spans="7:56" s="338" customFormat="1">
      <c r="G1766" s="340"/>
      <c r="L1766" s="340"/>
      <c r="P1766" s="340"/>
      <c r="U1766" s="340"/>
      <c r="V1766" s="340"/>
      <c r="Z1766" s="340"/>
      <c r="AE1766" s="340"/>
      <c r="AI1766" s="340"/>
      <c r="AN1766" s="340"/>
      <c r="AO1766" s="340"/>
      <c r="AS1766" s="340"/>
      <c r="AX1766" s="340"/>
      <c r="BB1766" s="340"/>
      <c r="BD1766" s="339"/>
    </row>
    <row r="1767" spans="7:56" s="338" customFormat="1">
      <c r="G1767" s="340"/>
      <c r="L1767" s="340"/>
      <c r="P1767" s="340"/>
      <c r="U1767" s="340"/>
      <c r="V1767" s="340"/>
      <c r="Z1767" s="340"/>
      <c r="AE1767" s="340"/>
      <c r="AI1767" s="340"/>
      <c r="AN1767" s="340"/>
      <c r="AO1767" s="340"/>
      <c r="AS1767" s="340"/>
      <c r="AX1767" s="340"/>
      <c r="BB1767" s="340"/>
      <c r="BD1767" s="339"/>
    </row>
    <row r="1768" spans="7:56" s="338" customFormat="1">
      <c r="G1768" s="340"/>
      <c r="L1768" s="340"/>
      <c r="P1768" s="340"/>
      <c r="U1768" s="340"/>
      <c r="V1768" s="340"/>
      <c r="Z1768" s="340"/>
      <c r="AE1768" s="340"/>
      <c r="AI1768" s="340"/>
      <c r="AN1768" s="340"/>
      <c r="AO1768" s="340"/>
      <c r="AS1768" s="340"/>
      <c r="AX1768" s="340"/>
      <c r="BB1768" s="340"/>
      <c r="BD1768" s="339"/>
    </row>
    <row r="1769" spans="7:56" s="338" customFormat="1">
      <c r="G1769" s="340"/>
      <c r="L1769" s="340"/>
      <c r="P1769" s="340"/>
      <c r="U1769" s="340"/>
      <c r="V1769" s="340"/>
      <c r="Z1769" s="340"/>
      <c r="AE1769" s="340"/>
      <c r="AI1769" s="340"/>
      <c r="AN1769" s="340"/>
      <c r="AO1769" s="340"/>
      <c r="AS1769" s="340"/>
      <c r="AX1769" s="340"/>
      <c r="BB1769" s="340"/>
      <c r="BD1769" s="339"/>
    </row>
    <row r="1770" spans="7:56" s="338" customFormat="1">
      <c r="G1770" s="340"/>
      <c r="L1770" s="340"/>
      <c r="P1770" s="340"/>
      <c r="U1770" s="340"/>
      <c r="V1770" s="340"/>
      <c r="Z1770" s="340"/>
      <c r="AE1770" s="340"/>
      <c r="AI1770" s="340"/>
      <c r="AN1770" s="340"/>
      <c r="AO1770" s="340"/>
      <c r="AS1770" s="340"/>
      <c r="AX1770" s="340"/>
      <c r="BB1770" s="340"/>
      <c r="BD1770" s="339"/>
    </row>
    <row r="1771" spans="7:56" s="338" customFormat="1">
      <c r="G1771" s="340"/>
      <c r="L1771" s="340"/>
      <c r="P1771" s="340"/>
      <c r="U1771" s="340"/>
      <c r="V1771" s="340"/>
      <c r="Z1771" s="340"/>
      <c r="AE1771" s="340"/>
      <c r="AI1771" s="340"/>
      <c r="AN1771" s="340"/>
      <c r="AO1771" s="340"/>
      <c r="AS1771" s="340"/>
      <c r="AX1771" s="340"/>
      <c r="BB1771" s="340"/>
      <c r="BD1771" s="339"/>
    </row>
    <row r="1772" spans="7:56" s="338" customFormat="1">
      <c r="G1772" s="340"/>
      <c r="L1772" s="340"/>
      <c r="P1772" s="340"/>
      <c r="U1772" s="340"/>
      <c r="V1772" s="340"/>
      <c r="Z1772" s="340"/>
      <c r="AE1772" s="340"/>
      <c r="AI1772" s="340"/>
      <c r="AN1772" s="340"/>
      <c r="AO1772" s="340"/>
      <c r="AS1772" s="340"/>
      <c r="AX1772" s="340"/>
      <c r="BB1772" s="340"/>
      <c r="BD1772" s="339"/>
    </row>
    <row r="1773" spans="7:56" s="338" customFormat="1">
      <c r="G1773" s="340"/>
      <c r="L1773" s="340"/>
      <c r="P1773" s="340"/>
      <c r="U1773" s="340"/>
      <c r="V1773" s="340"/>
      <c r="Z1773" s="340"/>
      <c r="AE1773" s="340"/>
      <c r="AI1773" s="340"/>
      <c r="AN1773" s="340"/>
      <c r="AO1773" s="340"/>
      <c r="AS1773" s="340"/>
      <c r="AX1773" s="340"/>
      <c r="BB1773" s="340"/>
      <c r="BD1773" s="339"/>
    </row>
    <row r="1774" spans="7:56" s="338" customFormat="1">
      <c r="G1774" s="340"/>
      <c r="L1774" s="340"/>
      <c r="P1774" s="340"/>
      <c r="U1774" s="340"/>
      <c r="V1774" s="340"/>
      <c r="Z1774" s="340"/>
      <c r="AE1774" s="340"/>
      <c r="AI1774" s="340"/>
      <c r="AN1774" s="340"/>
      <c r="AO1774" s="340"/>
      <c r="AS1774" s="340"/>
      <c r="AX1774" s="340"/>
      <c r="BB1774" s="340"/>
      <c r="BD1774" s="339"/>
    </row>
    <row r="1775" spans="7:56" s="338" customFormat="1">
      <c r="G1775" s="340"/>
      <c r="L1775" s="340"/>
      <c r="P1775" s="340"/>
      <c r="U1775" s="340"/>
      <c r="V1775" s="340"/>
      <c r="Z1775" s="340"/>
      <c r="AE1775" s="340"/>
      <c r="AI1775" s="340"/>
      <c r="AN1775" s="340"/>
      <c r="AO1775" s="340"/>
      <c r="AS1775" s="340"/>
      <c r="AX1775" s="340"/>
      <c r="BB1775" s="340"/>
      <c r="BD1775" s="339"/>
    </row>
    <row r="1776" spans="7:56" s="338" customFormat="1">
      <c r="G1776" s="340"/>
      <c r="L1776" s="340"/>
      <c r="P1776" s="340"/>
      <c r="U1776" s="340"/>
      <c r="V1776" s="340"/>
      <c r="Z1776" s="340"/>
      <c r="AE1776" s="340"/>
      <c r="AI1776" s="340"/>
      <c r="AN1776" s="340"/>
      <c r="AO1776" s="340"/>
      <c r="AS1776" s="340"/>
      <c r="AX1776" s="340"/>
      <c r="BB1776" s="340"/>
      <c r="BD1776" s="339"/>
    </row>
    <row r="1777" spans="7:56" s="338" customFormat="1">
      <c r="G1777" s="340"/>
      <c r="L1777" s="340"/>
      <c r="P1777" s="340"/>
      <c r="U1777" s="340"/>
      <c r="V1777" s="340"/>
      <c r="Z1777" s="340"/>
      <c r="AE1777" s="340"/>
      <c r="AI1777" s="340"/>
      <c r="AN1777" s="340"/>
      <c r="AO1777" s="340"/>
      <c r="AS1777" s="340"/>
      <c r="AX1777" s="340"/>
      <c r="BB1777" s="340"/>
      <c r="BD1777" s="339"/>
    </row>
    <row r="1778" spans="7:56" s="338" customFormat="1">
      <c r="G1778" s="340"/>
      <c r="L1778" s="340"/>
      <c r="P1778" s="340"/>
      <c r="U1778" s="340"/>
      <c r="V1778" s="340"/>
      <c r="Z1778" s="340"/>
      <c r="AE1778" s="340"/>
      <c r="AI1778" s="340"/>
      <c r="AN1778" s="340"/>
      <c r="AO1778" s="340"/>
      <c r="AS1778" s="340"/>
      <c r="AX1778" s="340"/>
      <c r="BB1778" s="340"/>
      <c r="BD1778" s="339"/>
    </row>
    <row r="1779" spans="7:56" s="338" customFormat="1">
      <c r="G1779" s="340"/>
      <c r="L1779" s="340"/>
      <c r="P1779" s="340"/>
      <c r="U1779" s="340"/>
      <c r="V1779" s="340"/>
      <c r="Z1779" s="340"/>
      <c r="AE1779" s="340"/>
      <c r="AI1779" s="340"/>
      <c r="AN1779" s="340"/>
      <c r="AO1779" s="340"/>
      <c r="AS1779" s="340"/>
      <c r="AX1779" s="340"/>
      <c r="BB1779" s="340"/>
      <c r="BD1779" s="339"/>
    </row>
    <row r="1780" spans="7:56" s="338" customFormat="1">
      <c r="G1780" s="340"/>
      <c r="L1780" s="340"/>
      <c r="P1780" s="340"/>
      <c r="U1780" s="340"/>
      <c r="V1780" s="340"/>
      <c r="Z1780" s="340"/>
      <c r="AE1780" s="340"/>
      <c r="AI1780" s="340"/>
      <c r="AN1780" s="340"/>
      <c r="AO1780" s="340"/>
      <c r="AS1780" s="340"/>
      <c r="AX1780" s="340"/>
      <c r="BB1780" s="340"/>
      <c r="BD1780" s="339"/>
    </row>
    <row r="1781" spans="7:56" s="338" customFormat="1">
      <c r="G1781" s="340"/>
      <c r="L1781" s="340"/>
      <c r="P1781" s="340"/>
      <c r="U1781" s="340"/>
      <c r="V1781" s="340"/>
      <c r="Z1781" s="340"/>
      <c r="AE1781" s="340"/>
      <c r="AI1781" s="340"/>
      <c r="AN1781" s="340"/>
      <c r="AO1781" s="340"/>
      <c r="AS1781" s="340"/>
      <c r="AX1781" s="340"/>
      <c r="BB1781" s="340"/>
      <c r="BD1781" s="339"/>
    </row>
    <row r="1782" spans="7:56" s="338" customFormat="1">
      <c r="G1782" s="340"/>
      <c r="L1782" s="340"/>
      <c r="P1782" s="340"/>
      <c r="U1782" s="340"/>
      <c r="V1782" s="340"/>
      <c r="Z1782" s="340"/>
      <c r="AE1782" s="340"/>
      <c r="AI1782" s="340"/>
      <c r="AN1782" s="340"/>
      <c r="AO1782" s="340"/>
      <c r="AS1782" s="340"/>
      <c r="AX1782" s="340"/>
      <c r="BB1782" s="340"/>
      <c r="BD1782" s="339"/>
    </row>
    <row r="1783" spans="7:56" s="338" customFormat="1">
      <c r="G1783" s="340"/>
      <c r="L1783" s="340"/>
      <c r="P1783" s="340"/>
      <c r="U1783" s="340"/>
      <c r="V1783" s="340"/>
      <c r="Z1783" s="340"/>
      <c r="AE1783" s="340"/>
      <c r="AI1783" s="340"/>
      <c r="AN1783" s="340"/>
      <c r="AO1783" s="340"/>
      <c r="AS1783" s="340"/>
      <c r="AX1783" s="340"/>
      <c r="BB1783" s="340"/>
      <c r="BD1783" s="339"/>
    </row>
    <row r="1784" spans="7:56" s="338" customFormat="1">
      <c r="G1784" s="340"/>
      <c r="L1784" s="340"/>
      <c r="P1784" s="340"/>
      <c r="U1784" s="340"/>
      <c r="V1784" s="340"/>
      <c r="Z1784" s="340"/>
      <c r="AE1784" s="340"/>
      <c r="AI1784" s="340"/>
      <c r="AN1784" s="340"/>
      <c r="AO1784" s="340"/>
      <c r="AS1784" s="340"/>
      <c r="AX1784" s="340"/>
      <c r="BB1784" s="340"/>
      <c r="BD1784" s="339"/>
    </row>
    <row r="1785" spans="7:56" s="338" customFormat="1">
      <c r="G1785" s="340"/>
      <c r="L1785" s="340"/>
      <c r="P1785" s="340"/>
      <c r="U1785" s="340"/>
      <c r="V1785" s="340"/>
      <c r="Z1785" s="340"/>
      <c r="AE1785" s="340"/>
      <c r="AI1785" s="340"/>
      <c r="AN1785" s="340"/>
      <c r="AO1785" s="340"/>
      <c r="AS1785" s="340"/>
      <c r="AX1785" s="340"/>
      <c r="BB1785" s="340"/>
      <c r="BD1785" s="339"/>
    </row>
    <row r="1786" spans="7:56" s="338" customFormat="1">
      <c r="G1786" s="340"/>
      <c r="L1786" s="340"/>
      <c r="P1786" s="340"/>
      <c r="U1786" s="340"/>
      <c r="V1786" s="340"/>
      <c r="Z1786" s="340"/>
      <c r="AE1786" s="340"/>
      <c r="AI1786" s="340"/>
      <c r="AN1786" s="340"/>
      <c r="AO1786" s="340"/>
      <c r="AS1786" s="340"/>
      <c r="AX1786" s="340"/>
      <c r="BB1786" s="340"/>
      <c r="BD1786" s="339"/>
    </row>
    <row r="1787" spans="7:56" s="338" customFormat="1">
      <c r="G1787" s="340"/>
      <c r="L1787" s="340"/>
      <c r="P1787" s="340"/>
      <c r="U1787" s="340"/>
      <c r="V1787" s="340"/>
      <c r="Z1787" s="340"/>
      <c r="AE1787" s="340"/>
      <c r="AI1787" s="340"/>
      <c r="AN1787" s="340"/>
      <c r="AO1787" s="340"/>
      <c r="AS1787" s="340"/>
      <c r="AX1787" s="340"/>
      <c r="BB1787" s="340"/>
      <c r="BD1787" s="339"/>
    </row>
    <row r="1788" spans="7:56" s="338" customFormat="1">
      <c r="G1788" s="340"/>
      <c r="L1788" s="340"/>
      <c r="P1788" s="340"/>
      <c r="U1788" s="340"/>
      <c r="V1788" s="340"/>
      <c r="Z1788" s="340"/>
      <c r="AE1788" s="340"/>
      <c r="AI1788" s="340"/>
      <c r="AN1788" s="340"/>
      <c r="AO1788" s="340"/>
      <c r="AS1788" s="340"/>
      <c r="AX1788" s="340"/>
      <c r="BB1788" s="340"/>
      <c r="BD1788" s="339"/>
    </row>
    <row r="1789" spans="7:56" s="338" customFormat="1">
      <c r="G1789" s="340"/>
      <c r="L1789" s="340"/>
      <c r="P1789" s="340"/>
      <c r="U1789" s="340"/>
      <c r="V1789" s="340"/>
      <c r="Z1789" s="340"/>
      <c r="AE1789" s="340"/>
      <c r="AI1789" s="340"/>
      <c r="AN1789" s="340"/>
      <c r="AO1789" s="340"/>
      <c r="AS1789" s="340"/>
      <c r="AX1789" s="340"/>
      <c r="BB1789" s="340"/>
      <c r="BD1789" s="339"/>
    </row>
    <row r="1790" spans="7:56" s="338" customFormat="1">
      <c r="G1790" s="340"/>
      <c r="L1790" s="340"/>
      <c r="P1790" s="340"/>
      <c r="U1790" s="340"/>
      <c r="V1790" s="340"/>
      <c r="Z1790" s="340"/>
      <c r="AE1790" s="340"/>
      <c r="AI1790" s="340"/>
      <c r="AN1790" s="340"/>
      <c r="AO1790" s="340"/>
      <c r="AS1790" s="340"/>
      <c r="AX1790" s="340"/>
      <c r="BB1790" s="340"/>
      <c r="BD1790" s="339"/>
    </row>
    <row r="1791" spans="7:56" s="338" customFormat="1">
      <c r="G1791" s="340"/>
      <c r="L1791" s="340"/>
      <c r="P1791" s="340"/>
      <c r="U1791" s="340"/>
      <c r="V1791" s="340"/>
      <c r="Z1791" s="340"/>
      <c r="AE1791" s="340"/>
      <c r="AI1791" s="340"/>
      <c r="AN1791" s="340"/>
      <c r="AO1791" s="340"/>
      <c r="AS1791" s="340"/>
      <c r="AX1791" s="340"/>
      <c r="BB1791" s="340"/>
      <c r="BD1791" s="339"/>
    </row>
    <row r="1792" spans="7:56" s="338" customFormat="1">
      <c r="G1792" s="340"/>
      <c r="L1792" s="340"/>
      <c r="P1792" s="340"/>
      <c r="U1792" s="340"/>
      <c r="V1792" s="340"/>
      <c r="Z1792" s="340"/>
      <c r="AE1792" s="340"/>
      <c r="AI1792" s="340"/>
      <c r="AN1792" s="340"/>
      <c r="AO1792" s="340"/>
      <c r="AS1792" s="340"/>
      <c r="AX1792" s="340"/>
      <c r="BB1792" s="340"/>
      <c r="BD1792" s="339"/>
    </row>
    <row r="1793" spans="7:56" s="338" customFormat="1">
      <c r="G1793" s="340"/>
      <c r="L1793" s="340"/>
      <c r="P1793" s="340"/>
      <c r="U1793" s="340"/>
      <c r="V1793" s="340"/>
      <c r="Z1793" s="340"/>
      <c r="AE1793" s="340"/>
      <c r="AI1793" s="340"/>
      <c r="AN1793" s="340"/>
      <c r="AO1793" s="340"/>
      <c r="AS1793" s="340"/>
      <c r="AX1793" s="340"/>
      <c r="BB1793" s="340"/>
      <c r="BD1793" s="339"/>
    </row>
    <row r="1794" spans="7:56" s="338" customFormat="1">
      <c r="G1794" s="340"/>
      <c r="L1794" s="340"/>
      <c r="P1794" s="340"/>
      <c r="U1794" s="340"/>
      <c r="V1794" s="340"/>
      <c r="Z1794" s="340"/>
      <c r="AE1794" s="340"/>
      <c r="AI1794" s="340"/>
      <c r="AN1794" s="340"/>
      <c r="AO1794" s="340"/>
      <c r="AS1794" s="340"/>
      <c r="AX1794" s="340"/>
      <c r="BB1794" s="340"/>
      <c r="BD1794" s="339"/>
    </row>
    <row r="1795" spans="7:56" s="338" customFormat="1">
      <c r="G1795" s="340"/>
      <c r="L1795" s="340"/>
      <c r="P1795" s="340"/>
      <c r="U1795" s="340"/>
      <c r="V1795" s="340"/>
      <c r="Z1795" s="340"/>
      <c r="AE1795" s="340"/>
      <c r="AI1795" s="340"/>
      <c r="AN1795" s="340"/>
      <c r="AO1795" s="340"/>
      <c r="AS1795" s="340"/>
      <c r="AX1795" s="340"/>
      <c r="BB1795" s="340"/>
      <c r="BD1795" s="339"/>
    </row>
    <row r="1796" spans="7:56" s="338" customFormat="1">
      <c r="G1796" s="340"/>
      <c r="L1796" s="340"/>
      <c r="P1796" s="340"/>
      <c r="U1796" s="340"/>
      <c r="V1796" s="340"/>
      <c r="Z1796" s="340"/>
      <c r="AE1796" s="340"/>
      <c r="AI1796" s="340"/>
      <c r="AN1796" s="340"/>
      <c r="AO1796" s="340"/>
      <c r="AS1796" s="340"/>
      <c r="AX1796" s="340"/>
      <c r="BB1796" s="340"/>
      <c r="BD1796" s="339"/>
    </row>
    <row r="1797" spans="7:56" s="338" customFormat="1">
      <c r="G1797" s="340"/>
      <c r="L1797" s="340"/>
      <c r="P1797" s="340"/>
      <c r="U1797" s="340"/>
      <c r="V1797" s="340"/>
      <c r="Z1797" s="340"/>
      <c r="AE1797" s="340"/>
      <c r="AI1797" s="340"/>
      <c r="AN1797" s="340"/>
      <c r="AO1797" s="340"/>
      <c r="AS1797" s="340"/>
      <c r="AX1797" s="340"/>
      <c r="BB1797" s="340"/>
      <c r="BD1797" s="339"/>
    </row>
    <row r="1798" spans="7:56" s="338" customFormat="1">
      <c r="G1798" s="340"/>
      <c r="L1798" s="340"/>
      <c r="P1798" s="340"/>
      <c r="U1798" s="340"/>
      <c r="V1798" s="340"/>
      <c r="Z1798" s="340"/>
      <c r="AE1798" s="340"/>
      <c r="AI1798" s="340"/>
      <c r="AN1798" s="340"/>
      <c r="AO1798" s="340"/>
      <c r="AS1798" s="340"/>
      <c r="AX1798" s="340"/>
      <c r="BB1798" s="340"/>
      <c r="BD1798" s="339"/>
    </row>
    <row r="1799" spans="7:56" s="338" customFormat="1">
      <c r="G1799" s="340"/>
      <c r="L1799" s="340"/>
      <c r="P1799" s="340"/>
      <c r="U1799" s="340"/>
      <c r="V1799" s="340"/>
      <c r="Z1799" s="340"/>
      <c r="AE1799" s="340"/>
      <c r="AI1799" s="340"/>
      <c r="AN1799" s="340"/>
      <c r="AO1799" s="340"/>
      <c r="AS1799" s="340"/>
      <c r="AX1799" s="340"/>
      <c r="BB1799" s="340"/>
      <c r="BD1799" s="339"/>
    </row>
    <row r="1800" spans="7:56" s="338" customFormat="1">
      <c r="G1800" s="340"/>
      <c r="L1800" s="340"/>
      <c r="P1800" s="340"/>
      <c r="U1800" s="340"/>
      <c r="V1800" s="340"/>
      <c r="Z1800" s="340"/>
      <c r="AE1800" s="340"/>
      <c r="AI1800" s="340"/>
      <c r="AN1800" s="340"/>
      <c r="AO1800" s="340"/>
      <c r="AS1800" s="340"/>
      <c r="AX1800" s="340"/>
      <c r="BB1800" s="340"/>
      <c r="BD1800" s="339"/>
    </row>
    <row r="1801" spans="7:56" s="338" customFormat="1">
      <c r="G1801" s="340"/>
      <c r="L1801" s="340"/>
      <c r="P1801" s="340"/>
      <c r="U1801" s="340"/>
      <c r="V1801" s="340"/>
      <c r="Z1801" s="340"/>
      <c r="AE1801" s="340"/>
      <c r="AI1801" s="340"/>
      <c r="AN1801" s="340"/>
      <c r="AO1801" s="340"/>
      <c r="AS1801" s="340"/>
      <c r="AX1801" s="340"/>
      <c r="BB1801" s="340"/>
      <c r="BD1801" s="339"/>
    </row>
    <row r="1802" spans="7:56" s="338" customFormat="1">
      <c r="G1802" s="340"/>
      <c r="L1802" s="340"/>
      <c r="P1802" s="340"/>
      <c r="U1802" s="340"/>
      <c r="V1802" s="340"/>
      <c r="Z1802" s="340"/>
      <c r="AE1802" s="340"/>
      <c r="AI1802" s="340"/>
      <c r="AN1802" s="340"/>
      <c r="AO1802" s="340"/>
      <c r="AS1802" s="340"/>
      <c r="AX1802" s="340"/>
      <c r="BB1802" s="340"/>
      <c r="BD1802" s="339"/>
    </row>
    <row r="1803" spans="7:56" s="338" customFormat="1">
      <c r="G1803" s="340"/>
      <c r="L1803" s="340"/>
      <c r="P1803" s="340"/>
      <c r="U1803" s="340"/>
      <c r="V1803" s="340"/>
      <c r="Z1803" s="340"/>
      <c r="AE1803" s="340"/>
      <c r="AI1803" s="340"/>
      <c r="AN1803" s="340"/>
      <c r="AO1803" s="340"/>
      <c r="AS1803" s="340"/>
      <c r="AX1803" s="340"/>
      <c r="BB1803" s="340"/>
      <c r="BD1803" s="339"/>
    </row>
    <row r="1804" spans="7:56" s="338" customFormat="1">
      <c r="G1804" s="340"/>
      <c r="L1804" s="340"/>
      <c r="P1804" s="340"/>
      <c r="U1804" s="340"/>
      <c r="V1804" s="340"/>
      <c r="Z1804" s="340"/>
      <c r="AE1804" s="340"/>
      <c r="AI1804" s="340"/>
      <c r="AN1804" s="340"/>
      <c r="AO1804" s="340"/>
      <c r="AS1804" s="340"/>
      <c r="AX1804" s="340"/>
      <c r="BB1804" s="340"/>
      <c r="BD1804" s="339"/>
    </row>
    <row r="1805" spans="7:56" s="338" customFormat="1">
      <c r="G1805" s="340"/>
      <c r="L1805" s="340"/>
      <c r="P1805" s="340"/>
      <c r="U1805" s="340"/>
      <c r="V1805" s="340"/>
      <c r="Z1805" s="340"/>
      <c r="AE1805" s="340"/>
      <c r="AI1805" s="340"/>
      <c r="AN1805" s="340"/>
      <c r="AO1805" s="340"/>
      <c r="AS1805" s="340"/>
      <c r="AX1805" s="340"/>
      <c r="BB1805" s="340"/>
      <c r="BD1805" s="339"/>
    </row>
    <row r="1806" spans="7:56" s="338" customFormat="1">
      <c r="G1806" s="340"/>
      <c r="L1806" s="340"/>
      <c r="P1806" s="340"/>
      <c r="U1806" s="340"/>
      <c r="V1806" s="340"/>
      <c r="Z1806" s="340"/>
      <c r="AE1806" s="340"/>
      <c r="AI1806" s="340"/>
      <c r="AN1806" s="340"/>
      <c r="AO1806" s="340"/>
      <c r="AS1806" s="340"/>
      <c r="AX1806" s="340"/>
      <c r="BB1806" s="340"/>
      <c r="BD1806" s="339"/>
    </row>
    <row r="1807" spans="7:56" s="338" customFormat="1">
      <c r="G1807" s="340"/>
      <c r="L1807" s="340"/>
      <c r="P1807" s="340"/>
      <c r="U1807" s="340"/>
      <c r="V1807" s="340"/>
      <c r="Z1807" s="340"/>
      <c r="AE1807" s="340"/>
      <c r="AI1807" s="340"/>
      <c r="AN1807" s="340"/>
      <c r="AO1807" s="340"/>
      <c r="AS1807" s="340"/>
      <c r="AX1807" s="340"/>
      <c r="BB1807" s="340"/>
      <c r="BD1807" s="339"/>
    </row>
    <row r="1808" spans="7:56" s="338" customFormat="1">
      <c r="G1808" s="340"/>
      <c r="L1808" s="340"/>
      <c r="P1808" s="340"/>
      <c r="U1808" s="340"/>
      <c r="V1808" s="340"/>
      <c r="Z1808" s="340"/>
      <c r="AE1808" s="340"/>
      <c r="AI1808" s="340"/>
      <c r="AN1808" s="340"/>
      <c r="AO1808" s="340"/>
      <c r="AS1808" s="340"/>
      <c r="AX1808" s="340"/>
      <c r="BB1808" s="340"/>
      <c r="BD1808" s="339"/>
    </row>
    <row r="1809" spans="7:56" s="338" customFormat="1">
      <c r="G1809" s="340"/>
      <c r="L1809" s="340"/>
      <c r="P1809" s="340"/>
      <c r="U1809" s="340"/>
      <c r="V1809" s="340"/>
      <c r="Z1809" s="340"/>
      <c r="AE1809" s="340"/>
      <c r="AI1809" s="340"/>
      <c r="AN1809" s="340"/>
      <c r="AO1809" s="340"/>
      <c r="AS1809" s="340"/>
      <c r="AX1809" s="340"/>
      <c r="BB1809" s="340"/>
      <c r="BD1809" s="339"/>
    </row>
    <row r="1810" spans="7:56" s="338" customFormat="1">
      <c r="G1810" s="340"/>
      <c r="L1810" s="340"/>
      <c r="P1810" s="340"/>
      <c r="U1810" s="340"/>
      <c r="V1810" s="340"/>
      <c r="Z1810" s="340"/>
      <c r="AE1810" s="340"/>
      <c r="AI1810" s="340"/>
      <c r="AN1810" s="340"/>
      <c r="AO1810" s="340"/>
      <c r="AS1810" s="340"/>
      <c r="AX1810" s="340"/>
      <c r="BB1810" s="340"/>
      <c r="BD1810" s="339"/>
    </row>
    <row r="1811" spans="7:56" s="338" customFormat="1">
      <c r="G1811" s="340"/>
      <c r="L1811" s="340"/>
      <c r="P1811" s="340"/>
      <c r="U1811" s="340"/>
      <c r="V1811" s="340"/>
      <c r="Z1811" s="340"/>
      <c r="AE1811" s="340"/>
      <c r="AI1811" s="340"/>
      <c r="AN1811" s="340"/>
      <c r="AO1811" s="340"/>
      <c r="AS1811" s="340"/>
      <c r="AX1811" s="340"/>
      <c r="BB1811" s="340"/>
      <c r="BD1811" s="339"/>
    </row>
    <row r="1812" spans="7:56" s="338" customFormat="1">
      <c r="G1812" s="340"/>
      <c r="L1812" s="340"/>
      <c r="P1812" s="340"/>
      <c r="U1812" s="340"/>
      <c r="V1812" s="340"/>
      <c r="Z1812" s="340"/>
      <c r="AE1812" s="340"/>
      <c r="AI1812" s="340"/>
      <c r="AN1812" s="340"/>
      <c r="AO1812" s="340"/>
      <c r="AS1812" s="340"/>
      <c r="AX1812" s="340"/>
      <c r="BB1812" s="340"/>
      <c r="BD1812" s="339"/>
    </row>
    <row r="1813" spans="7:56" s="338" customFormat="1">
      <c r="G1813" s="340"/>
      <c r="L1813" s="340"/>
      <c r="P1813" s="340"/>
      <c r="U1813" s="340"/>
      <c r="V1813" s="340"/>
      <c r="Z1813" s="340"/>
      <c r="AE1813" s="340"/>
      <c r="AI1813" s="340"/>
      <c r="AN1813" s="340"/>
      <c r="AO1813" s="340"/>
      <c r="AS1813" s="340"/>
      <c r="AX1813" s="340"/>
      <c r="BB1813" s="340"/>
      <c r="BD1813" s="339"/>
    </row>
    <row r="1814" spans="7:56" s="338" customFormat="1">
      <c r="G1814" s="340"/>
      <c r="L1814" s="340"/>
      <c r="P1814" s="340"/>
      <c r="U1814" s="340"/>
      <c r="V1814" s="340"/>
      <c r="Z1814" s="340"/>
      <c r="AE1814" s="340"/>
      <c r="AI1814" s="340"/>
      <c r="AN1814" s="340"/>
      <c r="AO1814" s="340"/>
      <c r="AS1814" s="340"/>
      <c r="AX1814" s="340"/>
      <c r="BB1814" s="340"/>
      <c r="BD1814" s="339"/>
    </row>
    <row r="1815" spans="7:56" s="338" customFormat="1">
      <c r="G1815" s="340"/>
      <c r="L1815" s="340"/>
      <c r="P1815" s="340"/>
      <c r="U1815" s="340"/>
      <c r="V1815" s="340"/>
      <c r="Z1815" s="340"/>
      <c r="AE1815" s="340"/>
      <c r="AI1815" s="340"/>
      <c r="AN1815" s="340"/>
      <c r="AO1815" s="340"/>
      <c r="AS1815" s="340"/>
      <c r="AX1815" s="340"/>
      <c r="BB1815" s="340"/>
      <c r="BD1815" s="339"/>
    </row>
    <row r="1816" spans="7:56" s="338" customFormat="1">
      <c r="G1816" s="340"/>
      <c r="L1816" s="340"/>
      <c r="P1816" s="340"/>
      <c r="U1816" s="340"/>
      <c r="V1816" s="340"/>
      <c r="Z1816" s="340"/>
      <c r="AE1816" s="340"/>
      <c r="AI1816" s="340"/>
      <c r="AN1816" s="340"/>
      <c r="AO1816" s="340"/>
      <c r="AS1816" s="340"/>
      <c r="AX1816" s="340"/>
      <c r="BB1816" s="340"/>
      <c r="BD1816" s="339"/>
    </row>
    <row r="1817" spans="7:56" s="338" customFormat="1">
      <c r="G1817" s="340"/>
      <c r="L1817" s="340"/>
      <c r="P1817" s="340"/>
      <c r="U1817" s="340"/>
      <c r="V1817" s="340"/>
      <c r="Z1817" s="340"/>
      <c r="AE1817" s="340"/>
      <c r="AI1817" s="340"/>
      <c r="AN1817" s="340"/>
      <c r="AO1817" s="340"/>
      <c r="AS1817" s="340"/>
      <c r="AX1817" s="340"/>
      <c r="BB1817" s="340"/>
      <c r="BD1817" s="339"/>
    </row>
    <row r="1818" spans="7:56" s="338" customFormat="1">
      <c r="G1818" s="340"/>
      <c r="L1818" s="340"/>
      <c r="P1818" s="340"/>
      <c r="U1818" s="340"/>
      <c r="V1818" s="340"/>
      <c r="Z1818" s="340"/>
      <c r="AE1818" s="340"/>
      <c r="AI1818" s="340"/>
      <c r="AN1818" s="340"/>
      <c r="AO1818" s="340"/>
      <c r="AS1818" s="340"/>
      <c r="AX1818" s="340"/>
      <c r="BB1818" s="340"/>
      <c r="BD1818" s="339"/>
    </row>
    <row r="1819" spans="7:56" s="338" customFormat="1">
      <c r="G1819" s="340"/>
      <c r="L1819" s="340"/>
      <c r="P1819" s="340"/>
      <c r="U1819" s="340"/>
      <c r="V1819" s="340"/>
      <c r="Z1819" s="340"/>
      <c r="AE1819" s="340"/>
      <c r="AI1819" s="340"/>
      <c r="AN1819" s="340"/>
      <c r="AO1819" s="340"/>
      <c r="AS1819" s="340"/>
      <c r="AX1819" s="340"/>
      <c r="BB1819" s="340"/>
      <c r="BD1819" s="339"/>
    </row>
    <row r="1820" spans="7:56" s="338" customFormat="1">
      <c r="G1820" s="340"/>
      <c r="L1820" s="340"/>
      <c r="P1820" s="340"/>
      <c r="U1820" s="340"/>
      <c r="V1820" s="340"/>
      <c r="Z1820" s="340"/>
      <c r="AE1820" s="340"/>
      <c r="AI1820" s="340"/>
      <c r="AN1820" s="340"/>
      <c r="AO1820" s="340"/>
      <c r="AS1820" s="340"/>
      <c r="AX1820" s="340"/>
      <c r="BB1820" s="340"/>
      <c r="BD1820" s="339"/>
    </row>
    <row r="1821" spans="7:56" s="338" customFormat="1">
      <c r="G1821" s="340"/>
      <c r="L1821" s="340"/>
      <c r="P1821" s="340"/>
      <c r="U1821" s="340"/>
      <c r="V1821" s="340"/>
      <c r="Z1821" s="340"/>
      <c r="AE1821" s="340"/>
      <c r="AI1821" s="340"/>
      <c r="AN1821" s="340"/>
      <c r="AO1821" s="340"/>
      <c r="AS1821" s="340"/>
      <c r="AX1821" s="340"/>
      <c r="BB1821" s="340"/>
      <c r="BD1821" s="339"/>
    </row>
    <row r="1822" spans="7:56" s="338" customFormat="1">
      <c r="G1822" s="340"/>
      <c r="L1822" s="340"/>
      <c r="P1822" s="340"/>
      <c r="U1822" s="340"/>
      <c r="V1822" s="340"/>
      <c r="Z1822" s="340"/>
      <c r="AE1822" s="340"/>
      <c r="AI1822" s="340"/>
      <c r="AN1822" s="340"/>
      <c r="AO1822" s="340"/>
      <c r="AS1822" s="340"/>
      <c r="AX1822" s="340"/>
      <c r="BB1822" s="340"/>
      <c r="BD1822" s="339"/>
    </row>
    <row r="1823" spans="7:56" s="338" customFormat="1">
      <c r="G1823" s="340"/>
      <c r="L1823" s="340"/>
      <c r="P1823" s="340"/>
      <c r="U1823" s="340"/>
      <c r="V1823" s="340"/>
      <c r="Z1823" s="340"/>
      <c r="AE1823" s="340"/>
      <c r="AI1823" s="340"/>
      <c r="AN1823" s="340"/>
      <c r="AO1823" s="340"/>
      <c r="AS1823" s="340"/>
      <c r="AX1823" s="340"/>
      <c r="BB1823" s="340"/>
      <c r="BD1823" s="339"/>
    </row>
    <row r="1824" spans="7:56" s="338" customFormat="1">
      <c r="G1824" s="340"/>
      <c r="L1824" s="340"/>
      <c r="P1824" s="340"/>
      <c r="U1824" s="340"/>
      <c r="V1824" s="340"/>
      <c r="Z1824" s="340"/>
      <c r="AE1824" s="340"/>
      <c r="AI1824" s="340"/>
      <c r="AN1824" s="340"/>
      <c r="AO1824" s="340"/>
      <c r="AS1824" s="340"/>
      <c r="AX1824" s="340"/>
      <c r="BB1824" s="340"/>
      <c r="BD1824" s="339"/>
    </row>
    <row r="1825" spans="7:56" s="338" customFormat="1">
      <c r="G1825" s="340"/>
      <c r="L1825" s="340"/>
      <c r="P1825" s="340"/>
      <c r="U1825" s="340"/>
      <c r="V1825" s="340"/>
      <c r="Z1825" s="340"/>
      <c r="AE1825" s="340"/>
      <c r="AI1825" s="340"/>
      <c r="AN1825" s="340"/>
      <c r="AO1825" s="340"/>
      <c r="AS1825" s="340"/>
      <c r="AX1825" s="340"/>
      <c r="BB1825" s="340"/>
      <c r="BD1825" s="339"/>
    </row>
    <row r="1826" spans="7:56" s="338" customFormat="1">
      <c r="G1826" s="340"/>
      <c r="L1826" s="340"/>
      <c r="P1826" s="340"/>
      <c r="U1826" s="340"/>
      <c r="V1826" s="340"/>
      <c r="Z1826" s="340"/>
      <c r="AE1826" s="340"/>
      <c r="AI1826" s="340"/>
      <c r="AN1826" s="340"/>
      <c r="AO1826" s="340"/>
      <c r="AS1826" s="340"/>
      <c r="AX1826" s="340"/>
      <c r="BB1826" s="340"/>
      <c r="BD1826" s="339"/>
    </row>
    <row r="1827" spans="7:56" s="338" customFormat="1">
      <c r="G1827" s="340"/>
      <c r="L1827" s="340"/>
      <c r="P1827" s="340"/>
      <c r="U1827" s="340"/>
      <c r="V1827" s="340"/>
      <c r="Z1827" s="340"/>
      <c r="AE1827" s="340"/>
      <c r="AI1827" s="340"/>
      <c r="AN1827" s="340"/>
      <c r="AO1827" s="340"/>
      <c r="AS1827" s="340"/>
      <c r="AX1827" s="340"/>
      <c r="BB1827" s="340"/>
      <c r="BD1827" s="339"/>
    </row>
    <row r="1828" spans="7:56" s="338" customFormat="1">
      <c r="G1828" s="340"/>
      <c r="L1828" s="340"/>
      <c r="P1828" s="340"/>
      <c r="U1828" s="340"/>
      <c r="V1828" s="340"/>
      <c r="Z1828" s="340"/>
      <c r="AE1828" s="340"/>
      <c r="AI1828" s="340"/>
      <c r="AN1828" s="340"/>
      <c r="AO1828" s="340"/>
      <c r="AS1828" s="340"/>
      <c r="AX1828" s="340"/>
      <c r="BB1828" s="340"/>
      <c r="BD1828" s="339"/>
    </row>
    <row r="1829" spans="7:56" s="338" customFormat="1">
      <c r="G1829" s="340"/>
      <c r="L1829" s="340"/>
      <c r="P1829" s="340"/>
      <c r="U1829" s="340"/>
      <c r="V1829" s="340"/>
      <c r="Z1829" s="340"/>
      <c r="AE1829" s="340"/>
      <c r="AI1829" s="340"/>
      <c r="AN1829" s="340"/>
      <c r="AO1829" s="340"/>
      <c r="AS1829" s="340"/>
      <c r="AX1829" s="340"/>
      <c r="BB1829" s="340"/>
      <c r="BD1829" s="339"/>
    </row>
    <row r="1830" spans="7:56" s="338" customFormat="1">
      <c r="G1830" s="340"/>
      <c r="L1830" s="340"/>
      <c r="P1830" s="340"/>
      <c r="U1830" s="340"/>
      <c r="V1830" s="340"/>
      <c r="Z1830" s="340"/>
      <c r="AE1830" s="340"/>
      <c r="AI1830" s="340"/>
      <c r="AN1830" s="340"/>
      <c r="AO1830" s="340"/>
      <c r="AS1830" s="340"/>
      <c r="AX1830" s="340"/>
      <c r="BB1830" s="340"/>
      <c r="BD1830" s="339"/>
    </row>
    <row r="1831" spans="7:56" s="338" customFormat="1">
      <c r="G1831" s="340"/>
      <c r="L1831" s="340"/>
      <c r="P1831" s="340"/>
      <c r="U1831" s="340"/>
      <c r="V1831" s="340"/>
      <c r="Z1831" s="340"/>
      <c r="AE1831" s="340"/>
      <c r="AI1831" s="340"/>
      <c r="AN1831" s="340"/>
      <c r="AO1831" s="340"/>
      <c r="AS1831" s="340"/>
      <c r="AX1831" s="340"/>
      <c r="BB1831" s="340"/>
      <c r="BD1831" s="339"/>
    </row>
    <row r="1832" spans="7:56" s="338" customFormat="1">
      <c r="G1832" s="340"/>
      <c r="L1832" s="340"/>
      <c r="P1832" s="340"/>
      <c r="U1832" s="340"/>
      <c r="V1832" s="340"/>
      <c r="Z1832" s="340"/>
      <c r="AE1832" s="340"/>
      <c r="AI1832" s="340"/>
      <c r="AN1832" s="340"/>
      <c r="AO1832" s="340"/>
      <c r="AS1832" s="340"/>
      <c r="AX1832" s="340"/>
      <c r="BB1832" s="340"/>
      <c r="BD1832" s="339"/>
    </row>
    <row r="1833" spans="7:56" s="338" customFormat="1">
      <c r="G1833" s="340"/>
      <c r="L1833" s="340"/>
      <c r="P1833" s="340"/>
      <c r="U1833" s="340"/>
      <c r="V1833" s="340"/>
      <c r="Z1833" s="340"/>
      <c r="AE1833" s="340"/>
      <c r="AI1833" s="340"/>
      <c r="AN1833" s="340"/>
      <c r="AO1833" s="340"/>
      <c r="AS1833" s="340"/>
      <c r="AX1833" s="340"/>
      <c r="BB1833" s="340"/>
      <c r="BD1833" s="339"/>
    </row>
    <row r="1834" spans="7:56" s="338" customFormat="1">
      <c r="G1834" s="340"/>
      <c r="L1834" s="340"/>
      <c r="P1834" s="340"/>
      <c r="U1834" s="340"/>
      <c r="V1834" s="340"/>
      <c r="Z1834" s="340"/>
      <c r="AE1834" s="340"/>
      <c r="AI1834" s="340"/>
      <c r="AN1834" s="340"/>
      <c r="AO1834" s="340"/>
      <c r="AS1834" s="340"/>
      <c r="AX1834" s="340"/>
      <c r="BB1834" s="340"/>
      <c r="BD1834" s="339"/>
    </row>
    <row r="1835" spans="7:56" s="338" customFormat="1">
      <c r="G1835" s="340"/>
      <c r="L1835" s="340"/>
      <c r="P1835" s="340"/>
      <c r="U1835" s="340"/>
      <c r="V1835" s="340"/>
      <c r="Z1835" s="340"/>
      <c r="AE1835" s="340"/>
      <c r="AI1835" s="340"/>
      <c r="AN1835" s="340"/>
      <c r="AO1835" s="340"/>
      <c r="AS1835" s="340"/>
      <c r="AX1835" s="340"/>
      <c r="BB1835" s="340"/>
      <c r="BD1835" s="339"/>
    </row>
    <row r="1836" spans="7:56" s="338" customFormat="1">
      <c r="G1836" s="340"/>
      <c r="L1836" s="340"/>
      <c r="P1836" s="340"/>
      <c r="U1836" s="340"/>
      <c r="V1836" s="340"/>
      <c r="Z1836" s="340"/>
      <c r="AE1836" s="340"/>
      <c r="AI1836" s="340"/>
      <c r="AN1836" s="340"/>
      <c r="AO1836" s="340"/>
      <c r="AS1836" s="340"/>
      <c r="AX1836" s="340"/>
      <c r="BB1836" s="340"/>
      <c r="BD1836" s="339"/>
    </row>
    <row r="1837" spans="7:56" s="338" customFormat="1">
      <c r="G1837" s="340"/>
      <c r="L1837" s="340"/>
      <c r="P1837" s="340"/>
      <c r="U1837" s="340"/>
      <c r="V1837" s="340"/>
      <c r="Z1837" s="340"/>
      <c r="AE1837" s="340"/>
      <c r="AI1837" s="340"/>
      <c r="AN1837" s="340"/>
      <c r="AO1837" s="340"/>
      <c r="AS1837" s="340"/>
      <c r="AX1837" s="340"/>
      <c r="BB1837" s="340"/>
      <c r="BD1837" s="339"/>
    </row>
    <row r="1838" spans="7:56" s="338" customFormat="1">
      <c r="G1838" s="340"/>
      <c r="L1838" s="340"/>
      <c r="P1838" s="340"/>
      <c r="U1838" s="340"/>
      <c r="V1838" s="340"/>
      <c r="Z1838" s="340"/>
      <c r="AE1838" s="340"/>
      <c r="AI1838" s="340"/>
      <c r="AN1838" s="340"/>
      <c r="AO1838" s="340"/>
      <c r="AS1838" s="340"/>
      <c r="AX1838" s="340"/>
      <c r="BB1838" s="340"/>
      <c r="BD1838" s="339"/>
    </row>
    <row r="1839" spans="7:56" s="338" customFormat="1">
      <c r="G1839" s="340"/>
      <c r="L1839" s="340"/>
      <c r="P1839" s="340"/>
      <c r="U1839" s="340"/>
      <c r="V1839" s="340"/>
      <c r="Z1839" s="340"/>
      <c r="AE1839" s="340"/>
      <c r="AI1839" s="340"/>
      <c r="AN1839" s="340"/>
      <c r="AO1839" s="340"/>
      <c r="AS1839" s="340"/>
      <c r="AX1839" s="340"/>
      <c r="BB1839" s="340"/>
      <c r="BD1839" s="339"/>
    </row>
    <row r="1840" spans="7:56" s="338" customFormat="1">
      <c r="G1840" s="340"/>
      <c r="L1840" s="340"/>
      <c r="P1840" s="340"/>
      <c r="U1840" s="340"/>
      <c r="V1840" s="340"/>
      <c r="Z1840" s="340"/>
      <c r="AE1840" s="340"/>
      <c r="AI1840" s="340"/>
      <c r="AN1840" s="340"/>
      <c r="AO1840" s="340"/>
      <c r="AS1840" s="340"/>
      <c r="AX1840" s="340"/>
      <c r="BB1840" s="340"/>
      <c r="BD1840" s="339"/>
    </row>
    <row r="1841" spans="7:56" s="338" customFormat="1">
      <c r="G1841" s="340"/>
      <c r="L1841" s="340"/>
      <c r="P1841" s="340"/>
      <c r="U1841" s="340"/>
      <c r="V1841" s="340"/>
      <c r="Z1841" s="340"/>
      <c r="AE1841" s="340"/>
      <c r="AI1841" s="340"/>
      <c r="AN1841" s="340"/>
      <c r="AO1841" s="340"/>
      <c r="AS1841" s="340"/>
      <c r="AX1841" s="340"/>
      <c r="BB1841" s="340"/>
      <c r="BD1841" s="339"/>
    </row>
    <row r="1842" spans="7:56" s="338" customFormat="1">
      <c r="G1842" s="340"/>
      <c r="L1842" s="340"/>
      <c r="P1842" s="340"/>
      <c r="U1842" s="340"/>
      <c r="V1842" s="340"/>
      <c r="Z1842" s="340"/>
      <c r="AE1842" s="340"/>
      <c r="AI1842" s="340"/>
      <c r="AN1842" s="340"/>
      <c r="AO1842" s="340"/>
      <c r="AS1842" s="340"/>
      <c r="AX1842" s="340"/>
      <c r="BB1842" s="340"/>
      <c r="BD1842" s="339"/>
    </row>
    <row r="1843" spans="7:56" s="338" customFormat="1">
      <c r="G1843" s="340"/>
      <c r="L1843" s="340"/>
      <c r="P1843" s="340"/>
      <c r="U1843" s="340"/>
      <c r="V1843" s="340"/>
      <c r="Z1843" s="340"/>
      <c r="AE1843" s="340"/>
      <c r="AI1843" s="340"/>
      <c r="AN1843" s="340"/>
      <c r="AO1843" s="340"/>
      <c r="AS1843" s="340"/>
      <c r="AX1843" s="340"/>
      <c r="BB1843" s="340"/>
      <c r="BD1843" s="339"/>
    </row>
    <row r="1844" spans="7:56" s="338" customFormat="1">
      <c r="G1844" s="340"/>
      <c r="L1844" s="340"/>
      <c r="P1844" s="340"/>
      <c r="U1844" s="340"/>
      <c r="V1844" s="340"/>
      <c r="Z1844" s="340"/>
      <c r="AE1844" s="340"/>
      <c r="AI1844" s="340"/>
      <c r="AN1844" s="340"/>
      <c r="AO1844" s="340"/>
      <c r="AS1844" s="340"/>
      <c r="AX1844" s="340"/>
      <c r="BB1844" s="340"/>
      <c r="BD1844" s="339"/>
    </row>
    <row r="1845" spans="7:56" s="338" customFormat="1">
      <c r="G1845" s="340"/>
      <c r="L1845" s="340"/>
      <c r="P1845" s="340"/>
      <c r="U1845" s="340"/>
      <c r="V1845" s="340"/>
      <c r="Z1845" s="340"/>
      <c r="AE1845" s="340"/>
      <c r="AI1845" s="340"/>
      <c r="AN1845" s="340"/>
      <c r="AO1845" s="340"/>
      <c r="AS1845" s="340"/>
      <c r="AX1845" s="340"/>
      <c r="BB1845" s="340"/>
      <c r="BD1845" s="339"/>
    </row>
    <row r="1846" spans="7:56" s="338" customFormat="1">
      <c r="G1846" s="340"/>
      <c r="L1846" s="340"/>
      <c r="P1846" s="340"/>
      <c r="U1846" s="340"/>
      <c r="V1846" s="340"/>
      <c r="Z1846" s="340"/>
      <c r="AE1846" s="340"/>
      <c r="AI1846" s="340"/>
      <c r="AN1846" s="340"/>
      <c r="AO1846" s="340"/>
      <c r="AS1846" s="340"/>
      <c r="AX1846" s="340"/>
      <c r="BB1846" s="340"/>
      <c r="BD1846" s="339"/>
    </row>
    <row r="1847" spans="7:56" s="338" customFormat="1">
      <c r="G1847" s="340"/>
      <c r="L1847" s="340"/>
      <c r="P1847" s="340"/>
      <c r="U1847" s="340"/>
      <c r="V1847" s="340"/>
      <c r="Z1847" s="340"/>
      <c r="AE1847" s="340"/>
      <c r="AI1847" s="340"/>
      <c r="AN1847" s="340"/>
      <c r="AO1847" s="340"/>
      <c r="AS1847" s="340"/>
      <c r="AX1847" s="340"/>
      <c r="BB1847" s="340"/>
      <c r="BD1847" s="339"/>
    </row>
    <row r="1848" spans="7:56" s="338" customFormat="1">
      <c r="G1848" s="340"/>
      <c r="L1848" s="340"/>
      <c r="P1848" s="340"/>
      <c r="U1848" s="340"/>
      <c r="V1848" s="340"/>
      <c r="Z1848" s="340"/>
      <c r="AE1848" s="340"/>
      <c r="AI1848" s="340"/>
      <c r="AN1848" s="340"/>
      <c r="AO1848" s="340"/>
      <c r="AS1848" s="340"/>
      <c r="AX1848" s="340"/>
      <c r="BB1848" s="340"/>
      <c r="BD1848" s="339"/>
    </row>
    <row r="1849" spans="7:56" s="338" customFormat="1">
      <c r="G1849" s="340"/>
      <c r="L1849" s="340"/>
      <c r="P1849" s="340"/>
      <c r="U1849" s="340"/>
      <c r="V1849" s="340"/>
      <c r="Z1849" s="340"/>
      <c r="AE1849" s="340"/>
      <c r="AI1849" s="340"/>
      <c r="AN1849" s="340"/>
      <c r="AO1849" s="340"/>
      <c r="AS1849" s="340"/>
      <c r="AX1849" s="340"/>
      <c r="BB1849" s="340"/>
      <c r="BD1849" s="339"/>
    </row>
    <row r="1850" spans="7:56" s="338" customFormat="1">
      <c r="G1850" s="340"/>
      <c r="L1850" s="340"/>
      <c r="P1850" s="340"/>
      <c r="U1850" s="340"/>
      <c r="V1850" s="340"/>
      <c r="Z1850" s="340"/>
      <c r="AE1850" s="340"/>
      <c r="AI1850" s="340"/>
      <c r="AN1850" s="340"/>
      <c r="AO1850" s="340"/>
      <c r="AS1850" s="340"/>
      <c r="AX1850" s="340"/>
      <c r="BB1850" s="340"/>
      <c r="BD1850" s="339"/>
    </row>
    <row r="1851" spans="7:56" s="338" customFormat="1">
      <c r="G1851" s="340"/>
      <c r="L1851" s="340"/>
      <c r="P1851" s="340"/>
      <c r="U1851" s="340"/>
      <c r="V1851" s="340"/>
      <c r="Z1851" s="340"/>
      <c r="AE1851" s="340"/>
      <c r="AI1851" s="340"/>
      <c r="AN1851" s="340"/>
      <c r="AO1851" s="340"/>
      <c r="AS1851" s="340"/>
      <c r="AX1851" s="340"/>
      <c r="BB1851" s="340"/>
      <c r="BD1851" s="339"/>
    </row>
    <row r="1852" spans="7:56" s="338" customFormat="1">
      <c r="G1852" s="340"/>
      <c r="L1852" s="340"/>
      <c r="P1852" s="340"/>
      <c r="U1852" s="340"/>
      <c r="V1852" s="340"/>
      <c r="Z1852" s="340"/>
      <c r="AE1852" s="340"/>
      <c r="AI1852" s="340"/>
      <c r="AN1852" s="340"/>
      <c r="AO1852" s="340"/>
      <c r="AS1852" s="340"/>
      <c r="AX1852" s="340"/>
      <c r="BB1852" s="340"/>
      <c r="BD1852" s="339"/>
    </row>
    <row r="1853" spans="7:56" s="338" customFormat="1">
      <c r="G1853" s="340"/>
      <c r="L1853" s="340"/>
      <c r="P1853" s="340"/>
      <c r="U1853" s="340"/>
      <c r="V1853" s="340"/>
      <c r="Z1853" s="340"/>
      <c r="AE1853" s="340"/>
      <c r="AI1853" s="340"/>
      <c r="AN1853" s="340"/>
      <c r="AO1853" s="340"/>
      <c r="AS1853" s="340"/>
      <c r="AX1853" s="340"/>
      <c r="BB1853" s="340"/>
      <c r="BD1853" s="339"/>
    </row>
    <row r="1854" spans="7:56" s="338" customFormat="1">
      <c r="G1854" s="340"/>
      <c r="L1854" s="340"/>
      <c r="P1854" s="340"/>
      <c r="U1854" s="340"/>
      <c r="V1854" s="340"/>
      <c r="Z1854" s="340"/>
      <c r="AE1854" s="340"/>
      <c r="AI1854" s="340"/>
      <c r="AN1854" s="340"/>
      <c r="AO1854" s="340"/>
      <c r="AS1854" s="340"/>
      <c r="AX1854" s="340"/>
      <c r="BB1854" s="340"/>
      <c r="BD1854" s="339"/>
    </row>
    <row r="1855" spans="7:56" s="338" customFormat="1">
      <c r="G1855" s="340"/>
      <c r="L1855" s="340"/>
      <c r="P1855" s="340"/>
      <c r="U1855" s="340"/>
      <c r="V1855" s="340"/>
      <c r="Z1855" s="340"/>
      <c r="AE1855" s="340"/>
      <c r="AI1855" s="340"/>
      <c r="AN1855" s="340"/>
      <c r="AO1855" s="340"/>
      <c r="AS1855" s="340"/>
      <c r="AX1855" s="340"/>
      <c r="BB1855" s="340"/>
      <c r="BD1855" s="339"/>
    </row>
    <row r="1856" spans="7:56" s="338" customFormat="1">
      <c r="G1856" s="340"/>
      <c r="L1856" s="340"/>
      <c r="P1856" s="340"/>
      <c r="U1856" s="340"/>
      <c r="V1856" s="340"/>
      <c r="Z1856" s="340"/>
      <c r="AE1856" s="340"/>
      <c r="AI1856" s="340"/>
      <c r="AN1856" s="340"/>
      <c r="AO1856" s="340"/>
      <c r="AS1856" s="340"/>
      <c r="AX1856" s="340"/>
      <c r="BB1856" s="340"/>
      <c r="BD1856" s="339"/>
    </row>
    <row r="1857" spans="7:56" s="338" customFormat="1">
      <c r="G1857" s="340"/>
      <c r="L1857" s="340"/>
      <c r="P1857" s="340"/>
      <c r="U1857" s="340"/>
      <c r="V1857" s="340"/>
      <c r="Z1857" s="340"/>
      <c r="AE1857" s="340"/>
      <c r="AI1857" s="340"/>
      <c r="AN1857" s="340"/>
      <c r="AO1857" s="340"/>
      <c r="AS1857" s="340"/>
      <c r="AX1857" s="340"/>
      <c r="BB1857" s="340"/>
      <c r="BD1857" s="339"/>
    </row>
    <row r="1858" spans="7:56" s="338" customFormat="1">
      <c r="G1858" s="340"/>
      <c r="L1858" s="340"/>
      <c r="P1858" s="340"/>
      <c r="U1858" s="340"/>
      <c r="V1858" s="340"/>
      <c r="Z1858" s="340"/>
      <c r="AE1858" s="340"/>
      <c r="AI1858" s="340"/>
      <c r="AN1858" s="340"/>
      <c r="AO1858" s="340"/>
      <c r="AS1858" s="340"/>
      <c r="AX1858" s="340"/>
      <c r="BB1858" s="340"/>
      <c r="BD1858" s="339"/>
    </row>
    <row r="1859" spans="7:56" s="338" customFormat="1">
      <c r="G1859" s="340"/>
      <c r="L1859" s="340"/>
      <c r="P1859" s="340"/>
      <c r="U1859" s="340"/>
      <c r="V1859" s="340"/>
      <c r="Z1859" s="340"/>
      <c r="AE1859" s="340"/>
      <c r="AI1859" s="340"/>
      <c r="AN1859" s="340"/>
      <c r="AO1859" s="340"/>
      <c r="AS1859" s="340"/>
      <c r="AX1859" s="340"/>
      <c r="BB1859" s="340"/>
      <c r="BD1859" s="339"/>
    </row>
    <row r="1860" spans="7:56" s="338" customFormat="1">
      <c r="G1860" s="340"/>
      <c r="L1860" s="340"/>
      <c r="P1860" s="340"/>
      <c r="U1860" s="340"/>
      <c r="V1860" s="340"/>
      <c r="Z1860" s="340"/>
      <c r="AE1860" s="340"/>
      <c r="AI1860" s="340"/>
      <c r="AN1860" s="340"/>
      <c r="AO1860" s="340"/>
      <c r="AS1860" s="340"/>
      <c r="AX1860" s="340"/>
      <c r="BB1860" s="340"/>
      <c r="BD1860" s="339"/>
    </row>
    <row r="1861" spans="7:56" s="338" customFormat="1">
      <c r="G1861" s="340"/>
      <c r="L1861" s="340"/>
      <c r="P1861" s="340"/>
      <c r="U1861" s="340"/>
      <c r="V1861" s="340"/>
      <c r="Z1861" s="340"/>
      <c r="AE1861" s="340"/>
      <c r="AI1861" s="340"/>
      <c r="AN1861" s="340"/>
      <c r="AO1861" s="340"/>
      <c r="AS1861" s="340"/>
      <c r="AX1861" s="340"/>
      <c r="BB1861" s="340"/>
      <c r="BD1861" s="339"/>
    </row>
    <row r="1862" spans="7:56" s="338" customFormat="1">
      <c r="G1862" s="340"/>
      <c r="L1862" s="340"/>
      <c r="P1862" s="340"/>
      <c r="U1862" s="340"/>
      <c r="V1862" s="340"/>
      <c r="Z1862" s="340"/>
      <c r="AE1862" s="340"/>
      <c r="AI1862" s="340"/>
      <c r="AN1862" s="340"/>
      <c r="AO1862" s="340"/>
      <c r="AS1862" s="340"/>
      <c r="AX1862" s="340"/>
      <c r="BB1862" s="340"/>
      <c r="BD1862" s="339"/>
    </row>
    <row r="1863" spans="7:56" s="338" customFormat="1">
      <c r="G1863" s="340"/>
      <c r="L1863" s="340"/>
      <c r="P1863" s="340"/>
      <c r="U1863" s="340"/>
      <c r="V1863" s="340"/>
      <c r="Z1863" s="340"/>
      <c r="AE1863" s="340"/>
      <c r="AI1863" s="340"/>
      <c r="AN1863" s="340"/>
      <c r="AO1863" s="340"/>
      <c r="AS1863" s="340"/>
      <c r="AX1863" s="340"/>
      <c r="BB1863" s="340"/>
      <c r="BD1863" s="339"/>
    </row>
    <row r="1864" spans="7:56" s="338" customFormat="1">
      <c r="G1864" s="340"/>
      <c r="L1864" s="340"/>
      <c r="P1864" s="340"/>
      <c r="U1864" s="340"/>
      <c r="V1864" s="340"/>
      <c r="Z1864" s="340"/>
      <c r="AE1864" s="340"/>
      <c r="AI1864" s="340"/>
      <c r="AN1864" s="340"/>
      <c r="AO1864" s="340"/>
      <c r="AS1864" s="340"/>
      <c r="AX1864" s="340"/>
      <c r="BB1864" s="340"/>
      <c r="BD1864" s="339"/>
    </row>
    <row r="1865" spans="7:56" s="338" customFormat="1">
      <c r="G1865" s="340"/>
      <c r="L1865" s="340"/>
      <c r="P1865" s="340"/>
      <c r="U1865" s="340"/>
      <c r="V1865" s="340"/>
      <c r="Z1865" s="340"/>
      <c r="AE1865" s="340"/>
      <c r="AI1865" s="340"/>
      <c r="AN1865" s="340"/>
      <c r="AO1865" s="340"/>
      <c r="AS1865" s="340"/>
      <c r="AX1865" s="340"/>
      <c r="BB1865" s="340"/>
      <c r="BD1865" s="339"/>
    </row>
    <row r="1866" spans="7:56" s="338" customFormat="1">
      <c r="G1866" s="340"/>
      <c r="L1866" s="340"/>
      <c r="P1866" s="340"/>
      <c r="U1866" s="340"/>
      <c r="V1866" s="340"/>
      <c r="Z1866" s="340"/>
      <c r="AE1866" s="340"/>
      <c r="AI1866" s="340"/>
      <c r="AN1866" s="340"/>
      <c r="AO1866" s="340"/>
      <c r="AS1866" s="340"/>
      <c r="AX1866" s="340"/>
      <c r="BB1866" s="340"/>
      <c r="BD1866" s="339"/>
    </row>
    <row r="1867" spans="7:56" s="338" customFormat="1">
      <c r="G1867" s="340"/>
      <c r="L1867" s="340"/>
      <c r="P1867" s="340"/>
      <c r="U1867" s="340"/>
      <c r="V1867" s="340"/>
      <c r="Z1867" s="340"/>
      <c r="AE1867" s="340"/>
      <c r="AI1867" s="340"/>
      <c r="AN1867" s="340"/>
      <c r="AO1867" s="340"/>
      <c r="AS1867" s="340"/>
      <c r="AX1867" s="340"/>
      <c r="BB1867" s="340"/>
      <c r="BD1867" s="339"/>
    </row>
    <row r="1868" spans="7:56" s="338" customFormat="1">
      <c r="G1868" s="340"/>
      <c r="L1868" s="340"/>
      <c r="P1868" s="340"/>
      <c r="U1868" s="340"/>
      <c r="V1868" s="340"/>
      <c r="Z1868" s="340"/>
      <c r="AE1868" s="340"/>
      <c r="AI1868" s="340"/>
      <c r="AN1868" s="340"/>
      <c r="AO1868" s="340"/>
      <c r="AS1868" s="340"/>
      <c r="AX1868" s="340"/>
      <c r="BB1868" s="340"/>
      <c r="BD1868" s="339"/>
    </row>
    <row r="1869" spans="7:56" s="338" customFormat="1">
      <c r="G1869" s="340"/>
      <c r="L1869" s="340"/>
      <c r="P1869" s="340"/>
      <c r="U1869" s="340"/>
      <c r="V1869" s="340"/>
      <c r="Z1869" s="340"/>
      <c r="AE1869" s="340"/>
      <c r="AI1869" s="340"/>
      <c r="AN1869" s="340"/>
      <c r="AO1869" s="340"/>
      <c r="AS1869" s="340"/>
      <c r="AX1869" s="340"/>
      <c r="BB1869" s="340"/>
      <c r="BD1869" s="339"/>
    </row>
    <row r="1870" spans="7:56" s="338" customFormat="1">
      <c r="G1870" s="340"/>
      <c r="L1870" s="340"/>
      <c r="P1870" s="340"/>
      <c r="U1870" s="340"/>
      <c r="V1870" s="340"/>
      <c r="Z1870" s="340"/>
      <c r="AE1870" s="340"/>
      <c r="AI1870" s="340"/>
      <c r="AN1870" s="340"/>
      <c r="AO1870" s="340"/>
      <c r="AS1870" s="340"/>
      <c r="AX1870" s="340"/>
      <c r="BB1870" s="340"/>
      <c r="BD1870" s="339"/>
    </row>
    <row r="1871" spans="7:56" s="338" customFormat="1">
      <c r="G1871" s="340"/>
      <c r="L1871" s="340"/>
      <c r="P1871" s="340"/>
      <c r="U1871" s="340"/>
      <c r="V1871" s="340"/>
      <c r="Z1871" s="340"/>
      <c r="AE1871" s="340"/>
      <c r="AI1871" s="340"/>
      <c r="AN1871" s="340"/>
      <c r="AO1871" s="340"/>
      <c r="AS1871" s="340"/>
      <c r="AX1871" s="340"/>
      <c r="BB1871" s="340"/>
      <c r="BD1871" s="339"/>
    </row>
    <row r="1872" spans="7:56" s="338" customFormat="1">
      <c r="G1872" s="340"/>
      <c r="L1872" s="340"/>
      <c r="P1872" s="340"/>
      <c r="U1872" s="340"/>
      <c r="V1872" s="340"/>
      <c r="Z1872" s="340"/>
      <c r="AE1872" s="340"/>
      <c r="AI1872" s="340"/>
      <c r="AN1872" s="340"/>
      <c r="AO1872" s="340"/>
      <c r="AS1872" s="340"/>
      <c r="AX1872" s="340"/>
      <c r="BB1872" s="340"/>
      <c r="BD1872" s="339"/>
    </row>
    <row r="1873" spans="7:56" s="338" customFormat="1">
      <c r="G1873" s="340"/>
      <c r="L1873" s="340"/>
      <c r="P1873" s="340"/>
      <c r="U1873" s="340"/>
      <c r="V1873" s="340"/>
      <c r="Z1873" s="340"/>
      <c r="AE1873" s="340"/>
      <c r="AI1873" s="340"/>
      <c r="AN1873" s="340"/>
      <c r="AO1873" s="340"/>
      <c r="AS1873" s="340"/>
      <c r="AX1873" s="340"/>
      <c r="BB1873" s="340"/>
      <c r="BD1873" s="339"/>
    </row>
    <row r="1874" spans="7:56" s="338" customFormat="1">
      <c r="G1874" s="340"/>
      <c r="L1874" s="340"/>
      <c r="P1874" s="340"/>
      <c r="U1874" s="340"/>
      <c r="V1874" s="340"/>
      <c r="Z1874" s="340"/>
      <c r="AE1874" s="340"/>
      <c r="AI1874" s="340"/>
      <c r="AN1874" s="340"/>
      <c r="AO1874" s="340"/>
      <c r="AS1874" s="340"/>
      <c r="AX1874" s="340"/>
      <c r="BB1874" s="340"/>
      <c r="BD1874" s="339"/>
    </row>
    <row r="1875" spans="7:56" s="338" customFormat="1">
      <c r="G1875" s="340"/>
      <c r="L1875" s="340"/>
      <c r="P1875" s="340"/>
      <c r="U1875" s="340"/>
      <c r="V1875" s="340"/>
      <c r="Z1875" s="340"/>
      <c r="AE1875" s="340"/>
      <c r="AI1875" s="340"/>
      <c r="AN1875" s="340"/>
      <c r="AO1875" s="340"/>
      <c r="AS1875" s="340"/>
      <c r="AX1875" s="340"/>
      <c r="BB1875" s="340"/>
      <c r="BD1875" s="339"/>
    </row>
    <row r="1876" spans="7:56" s="338" customFormat="1">
      <c r="G1876" s="340"/>
      <c r="L1876" s="340"/>
      <c r="P1876" s="340"/>
      <c r="U1876" s="340"/>
      <c r="V1876" s="340"/>
      <c r="Z1876" s="340"/>
      <c r="AE1876" s="340"/>
      <c r="AI1876" s="340"/>
      <c r="AN1876" s="340"/>
      <c r="AO1876" s="340"/>
      <c r="AS1876" s="340"/>
      <c r="AX1876" s="340"/>
      <c r="BB1876" s="340"/>
      <c r="BD1876" s="339"/>
    </row>
    <row r="1877" spans="7:56" s="338" customFormat="1">
      <c r="G1877" s="340"/>
      <c r="L1877" s="340"/>
      <c r="P1877" s="340"/>
      <c r="U1877" s="340"/>
      <c r="V1877" s="340"/>
      <c r="Z1877" s="340"/>
      <c r="AE1877" s="340"/>
      <c r="AI1877" s="340"/>
      <c r="AN1877" s="340"/>
      <c r="AO1877" s="340"/>
      <c r="AS1877" s="340"/>
      <c r="AX1877" s="340"/>
      <c r="BB1877" s="340"/>
      <c r="BD1877" s="339"/>
    </row>
    <row r="1878" spans="7:56" s="338" customFormat="1">
      <c r="G1878" s="340"/>
      <c r="L1878" s="340"/>
      <c r="P1878" s="340"/>
      <c r="U1878" s="340"/>
      <c r="V1878" s="340"/>
      <c r="Z1878" s="340"/>
      <c r="AE1878" s="340"/>
      <c r="AI1878" s="340"/>
      <c r="AN1878" s="340"/>
      <c r="AO1878" s="340"/>
      <c r="AS1878" s="340"/>
      <c r="AX1878" s="340"/>
      <c r="BB1878" s="340"/>
      <c r="BD1878" s="339"/>
    </row>
    <row r="1879" spans="7:56" s="338" customFormat="1">
      <c r="G1879" s="340"/>
      <c r="L1879" s="340"/>
      <c r="P1879" s="340"/>
      <c r="U1879" s="340"/>
      <c r="V1879" s="340"/>
      <c r="Z1879" s="340"/>
      <c r="AE1879" s="340"/>
      <c r="AI1879" s="340"/>
      <c r="AN1879" s="340"/>
      <c r="AO1879" s="340"/>
      <c r="AS1879" s="340"/>
      <c r="AX1879" s="340"/>
      <c r="BB1879" s="340"/>
      <c r="BD1879" s="339"/>
    </row>
    <row r="1880" spans="7:56" s="338" customFormat="1">
      <c r="G1880" s="340"/>
      <c r="L1880" s="340"/>
      <c r="P1880" s="340"/>
      <c r="U1880" s="340"/>
      <c r="V1880" s="340"/>
      <c r="Z1880" s="340"/>
      <c r="AE1880" s="340"/>
      <c r="AI1880" s="340"/>
      <c r="AN1880" s="340"/>
      <c r="AO1880" s="340"/>
      <c r="AS1880" s="340"/>
      <c r="AX1880" s="340"/>
      <c r="BB1880" s="340"/>
      <c r="BD1880" s="339"/>
    </row>
    <row r="1881" spans="7:56" s="338" customFormat="1">
      <c r="G1881" s="340"/>
      <c r="L1881" s="340"/>
      <c r="P1881" s="340"/>
      <c r="U1881" s="340"/>
      <c r="V1881" s="340"/>
      <c r="Z1881" s="340"/>
      <c r="AE1881" s="340"/>
      <c r="AI1881" s="340"/>
      <c r="AN1881" s="340"/>
      <c r="AO1881" s="340"/>
      <c r="AS1881" s="340"/>
      <c r="AX1881" s="340"/>
      <c r="BB1881" s="340"/>
      <c r="BD1881" s="339"/>
    </row>
    <row r="1882" spans="7:56" s="338" customFormat="1">
      <c r="G1882" s="340"/>
      <c r="L1882" s="340"/>
      <c r="P1882" s="340"/>
      <c r="U1882" s="340"/>
      <c r="V1882" s="340"/>
      <c r="Z1882" s="340"/>
      <c r="AE1882" s="340"/>
      <c r="AI1882" s="340"/>
      <c r="AN1882" s="340"/>
      <c r="AO1882" s="340"/>
      <c r="AS1882" s="340"/>
      <c r="AX1882" s="340"/>
      <c r="BB1882" s="340"/>
      <c r="BD1882" s="339"/>
    </row>
    <row r="1883" spans="7:56" s="338" customFormat="1">
      <c r="G1883" s="340"/>
      <c r="L1883" s="340"/>
      <c r="P1883" s="340"/>
      <c r="U1883" s="340"/>
      <c r="V1883" s="340"/>
      <c r="Z1883" s="340"/>
      <c r="AE1883" s="340"/>
      <c r="AI1883" s="340"/>
      <c r="AN1883" s="340"/>
      <c r="AO1883" s="340"/>
      <c r="AS1883" s="340"/>
      <c r="AX1883" s="340"/>
      <c r="BB1883" s="340"/>
      <c r="BD1883" s="339"/>
    </row>
    <row r="1884" spans="7:56" s="338" customFormat="1">
      <c r="G1884" s="340"/>
      <c r="L1884" s="340"/>
      <c r="P1884" s="340"/>
      <c r="U1884" s="340"/>
      <c r="V1884" s="340"/>
      <c r="Z1884" s="340"/>
      <c r="AE1884" s="340"/>
      <c r="AI1884" s="340"/>
      <c r="AN1884" s="340"/>
      <c r="AO1884" s="340"/>
      <c r="AS1884" s="340"/>
      <c r="AX1884" s="340"/>
      <c r="BB1884" s="340"/>
      <c r="BD1884" s="339"/>
    </row>
    <row r="1885" spans="7:56" s="338" customFormat="1">
      <c r="G1885" s="340"/>
      <c r="L1885" s="340"/>
      <c r="P1885" s="340"/>
      <c r="U1885" s="340"/>
      <c r="V1885" s="340"/>
      <c r="Z1885" s="340"/>
      <c r="AE1885" s="340"/>
      <c r="AI1885" s="340"/>
      <c r="AN1885" s="340"/>
      <c r="AO1885" s="340"/>
      <c r="AS1885" s="340"/>
      <c r="AX1885" s="340"/>
      <c r="BB1885" s="340"/>
      <c r="BD1885" s="339"/>
    </row>
    <row r="1886" spans="7:56" s="338" customFormat="1">
      <c r="G1886" s="340"/>
      <c r="L1886" s="340"/>
      <c r="P1886" s="340"/>
      <c r="U1886" s="340"/>
      <c r="V1886" s="340"/>
      <c r="Z1886" s="340"/>
      <c r="AE1886" s="340"/>
      <c r="AI1886" s="340"/>
      <c r="AN1886" s="340"/>
      <c r="AO1886" s="340"/>
      <c r="AS1886" s="340"/>
      <c r="AX1886" s="340"/>
      <c r="BB1886" s="340"/>
      <c r="BD1886" s="339"/>
    </row>
    <row r="1887" spans="7:56" s="338" customFormat="1">
      <c r="G1887" s="340"/>
      <c r="L1887" s="340"/>
      <c r="P1887" s="340"/>
      <c r="U1887" s="340"/>
      <c r="V1887" s="340"/>
      <c r="Z1887" s="340"/>
      <c r="AE1887" s="340"/>
      <c r="AI1887" s="340"/>
      <c r="AN1887" s="340"/>
      <c r="AO1887" s="340"/>
      <c r="AS1887" s="340"/>
      <c r="AX1887" s="340"/>
      <c r="BB1887" s="340"/>
      <c r="BD1887" s="339"/>
    </row>
    <row r="1888" spans="7:56" s="338" customFormat="1">
      <c r="G1888" s="340"/>
      <c r="L1888" s="340"/>
      <c r="P1888" s="340"/>
      <c r="U1888" s="340"/>
      <c r="V1888" s="340"/>
      <c r="Z1888" s="340"/>
      <c r="AE1888" s="340"/>
      <c r="AI1888" s="340"/>
      <c r="AN1888" s="340"/>
      <c r="AO1888" s="340"/>
      <c r="AS1888" s="340"/>
      <c r="AX1888" s="340"/>
      <c r="BB1888" s="340"/>
      <c r="BD1888" s="339"/>
    </row>
    <row r="1889" spans="7:56" s="338" customFormat="1">
      <c r="G1889" s="340"/>
      <c r="L1889" s="340"/>
      <c r="P1889" s="340"/>
      <c r="U1889" s="340"/>
      <c r="V1889" s="340"/>
      <c r="Z1889" s="340"/>
      <c r="AE1889" s="340"/>
      <c r="AI1889" s="340"/>
      <c r="AN1889" s="340"/>
      <c r="AO1889" s="340"/>
      <c r="AS1889" s="340"/>
      <c r="AX1889" s="340"/>
      <c r="BB1889" s="340"/>
      <c r="BD1889" s="339"/>
    </row>
    <row r="1890" spans="7:56" s="338" customFormat="1">
      <c r="G1890" s="340"/>
      <c r="L1890" s="340"/>
      <c r="P1890" s="340"/>
      <c r="U1890" s="340"/>
      <c r="V1890" s="340"/>
      <c r="Z1890" s="340"/>
      <c r="AE1890" s="340"/>
      <c r="AI1890" s="340"/>
      <c r="AN1890" s="340"/>
      <c r="AO1890" s="340"/>
      <c r="AS1890" s="340"/>
      <c r="AX1890" s="340"/>
      <c r="BB1890" s="340"/>
      <c r="BD1890" s="339"/>
    </row>
    <row r="1891" spans="7:56" s="338" customFormat="1">
      <c r="G1891" s="340"/>
      <c r="L1891" s="340"/>
      <c r="P1891" s="340"/>
      <c r="U1891" s="340"/>
      <c r="V1891" s="340"/>
      <c r="Z1891" s="340"/>
      <c r="AE1891" s="340"/>
      <c r="AI1891" s="340"/>
      <c r="AN1891" s="340"/>
      <c r="AO1891" s="340"/>
      <c r="AS1891" s="340"/>
      <c r="AX1891" s="340"/>
      <c r="BB1891" s="340"/>
      <c r="BD1891" s="339"/>
    </row>
    <row r="1892" spans="7:56" s="338" customFormat="1">
      <c r="G1892" s="340"/>
      <c r="L1892" s="340"/>
      <c r="P1892" s="340"/>
      <c r="U1892" s="340"/>
      <c r="V1892" s="340"/>
      <c r="Z1892" s="340"/>
      <c r="AE1892" s="340"/>
      <c r="AI1892" s="340"/>
      <c r="AN1892" s="340"/>
      <c r="AO1892" s="340"/>
      <c r="AS1892" s="340"/>
      <c r="AX1892" s="340"/>
      <c r="BB1892" s="340"/>
      <c r="BD1892" s="339"/>
    </row>
    <row r="1893" spans="7:56" s="338" customFormat="1">
      <c r="G1893" s="340"/>
      <c r="L1893" s="340"/>
      <c r="P1893" s="340"/>
      <c r="U1893" s="340"/>
      <c r="V1893" s="340"/>
      <c r="Z1893" s="340"/>
      <c r="AE1893" s="340"/>
      <c r="AI1893" s="340"/>
      <c r="AN1893" s="340"/>
      <c r="AO1893" s="340"/>
      <c r="AS1893" s="340"/>
      <c r="AX1893" s="340"/>
      <c r="BB1893" s="340"/>
      <c r="BD1893" s="339"/>
    </row>
    <row r="1894" spans="7:56" s="338" customFormat="1">
      <c r="G1894" s="340"/>
      <c r="L1894" s="340"/>
      <c r="P1894" s="340"/>
      <c r="U1894" s="340"/>
      <c r="V1894" s="340"/>
      <c r="Z1894" s="340"/>
      <c r="AE1894" s="340"/>
      <c r="AI1894" s="340"/>
      <c r="AN1894" s="340"/>
      <c r="AO1894" s="340"/>
      <c r="AS1894" s="340"/>
      <c r="AX1894" s="340"/>
      <c r="BB1894" s="340"/>
      <c r="BD1894" s="339"/>
    </row>
    <row r="1895" spans="7:56" s="338" customFormat="1">
      <c r="G1895" s="340"/>
      <c r="L1895" s="340"/>
      <c r="P1895" s="340"/>
      <c r="U1895" s="340"/>
      <c r="V1895" s="340"/>
      <c r="Z1895" s="340"/>
      <c r="AE1895" s="340"/>
      <c r="AI1895" s="340"/>
      <c r="AN1895" s="340"/>
      <c r="AO1895" s="340"/>
      <c r="AS1895" s="340"/>
      <c r="AX1895" s="340"/>
      <c r="BB1895" s="340"/>
      <c r="BD1895" s="339"/>
    </row>
    <row r="1896" spans="7:56" s="338" customFormat="1">
      <c r="G1896" s="340"/>
      <c r="L1896" s="340"/>
      <c r="P1896" s="340"/>
      <c r="U1896" s="340"/>
      <c r="V1896" s="340"/>
      <c r="Z1896" s="340"/>
      <c r="AE1896" s="340"/>
      <c r="AI1896" s="340"/>
      <c r="AN1896" s="340"/>
      <c r="AO1896" s="340"/>
      <c r="AS1896" s="340"/>
      <c r="AX1896" s="340"/>
      <c r="BB1896" s="340"/>
      <c r="BD1896" s="339"/>
    </row>
    <row r="1897" spans="7:56" s="338" customFormat="1">
      <c r="G1897" s="340"/>
      <c r="L1897" s="340"/>
      <c r="P1897" s="340"/>
      <c r="U1897" s="340"/>
      <c r="V1897" s="340"/>
      <c r="Z1897" s="340"/>
      <c r="AE1897" s="340"/>
      <c r="AI1897" s="340"/>
      <c r="AN1897" s="340"/>
      <c r="AO1897" s="340"/>
      <c r="AS1897" s="340"/>
      <c r="AX1897" s="340"/>
      <c r="BB1897" s="340"/>
      <c r="BD1897" s="339"/>
    </row>
    <row r="1898" spans="7:56" s="338" customFormat="1">
      <c r="G1898" s="340"/>
      <c r="L1898" s="340"/>
      <c r="P1898" s="340"/>
      <c r="U1898" s="340"/>
      <c r="V1898" s="340"/>
      <c r="Z1898" s="340"/>
      <c r="AE1898" s="340"/>
      <c r="AI1898" s="340"/>
      <c r="AN1898" s="340"/>
      <c r="AO1898" s="340"/>
      <c r="AS1898" s="340"/>
      <c r="AX1898" s="340"/>
      <c r="BB1898" s="340"/>
      <c r="BD1898" s="339"/>
    </row>
    <row r="1899" spans="7:56" s="338" customFormat="1">
      <c r="G1899" s="340"/>
      <c r="L1899" s="340"/>
      <c r="P1899" s="340"/>
      <c r="U1899" s="340"/>
      <c r="V1899" s="340"/>
      <c r="Z1899" s="340"/>
      <c r="AE1899" s="340"/>
      <c r="AI1899" s="340"/>
      <c r="AN1899" s="340"/>
      <c r="AO1899" s="340"/>
      <c r="AS1899" s="340"/>
      <c r="AX1899" s="340"/>
      <c r="BB1899" s="340"/>
      <c r="BD1899" s="339"/>
    </row>
    <row r="1900" spans="7:56" s="338" customFormat="1">
      <c r="G1900" s="340"/>
      <c r="L1900" s="340"/>
      <c r="P1900" s="340"/>
      <c r="U1900" s="340"/>
      <c r="V1900" s="340"/>
      <c r="Z1900" s="340"/>
      <c r="AE1900" s="340"/>
      <c r="AI1900" s="340"/>
      <c r="AN1900" s="340"/>
      <c r="AO1900" s="340"/>
      <c r="AS1900" s="340"/>
      <c r="AX1900" s="340"/>
      <c r="BB1900" s="340"/>
      <c r="BD1900" s="339"/>
    </row>
    <row r="1901" spans="7:56" s="338" customFormat="1">
      <c r="G1901" s="340"/>
      <c r="L1901" s="340"/>
      <c r="P1901" s="340"/>
      <c r="U1901" s="340"/>
      <c r="V1901" s="340"/>
      <c r="Z1901" s="340"/>
      <c r="AE1901" s="340"/>
      <c r="AI1901" s="340"/>
      <c r="AN1901" s="340"/>
      <c r="AO1901" s="340"/>
      <c r="AS1901" s="340"/>
      <c r="AX1901" s="340"/>
      <c r="BB1901" s="340"/>
      <c r="BD1901" s="339"/>
    </row>
    <row r="1902" spans="7:56" s="338" customFormat="1">
      <c r="G1902" s="340"/>
      <c r="L1902" s="340"/>
      <c r="P1902" s="340"/>
      <c r="U1902" s="340"/>
      <c r="V1902" s="340"/>
      <c r="Z1902" s="340"/>
      <c r="AE1902" s="340"/>
      <c r="AI1902" s="340"/>
      <c r="AN1902" s="340"/>
      <c r="AO1902" s="340"/>
      <c r="AS1902" s="340"/>
      <c r="AX1902" s="340"/>
      <c r="BB1902" s="340"/>
      <c r="BD1902" s="339"/>
    </row>
    <row r="1903" spans="7:56" s="338" customFormat="1">
      <c r="G1903" s="340"/>
      <c r="L1903" s="340"/>
      <c r="P1903" s="340"/>
      <c r="U1903" s="340"/>
      <c r="V1903" s="340"/>
      <c r="Z1903" s="340"/>
      <c r="AE1903" s="340"/>
      <c r="AI1903" s="340"/>
      <c r="AN1903" s="340"/>
      <c r="AO1903" s="340"/>
      <c r="AS1903" s="340"/>
      <c r="AX1903" s="340"/>
      <c r="BB1903" s="340"/>
      <c r="BD1903" s="339"/>
    </row>
    <row r="1904" spans="7:56" s="338" customFormat="1">
      <c r="G1904" s="340"/>
      <c r="L1904" s="340"/>
      <c r="P1904" s="340"/>
      <c r="U1904" s="340"/>
      <c r="V1904" s="340"/>
      <c r="Z1904" s="340"/>
      <c r="AE1904" s="340"/>
      <c r="AI1904" s="340"/>
      <c r="AN1904" s="340"/>
      <c r="AO1904" s="340"/>
      <c r="AS1904" s="340"/>
      <c r="AX1904" s="340"/>
      <c r="BB1904" s="340"/>
      <c r="BD1904" s="339"/>
    </row>
    <row r="1905" spans="7:56" s="338" customFormat="1">
      <c r="G1905" s="340"/>
      <c r="L1905" s="340"/>
      <c r="P1905" s="340"/>
      <c r="U1905" s="340"/>
      <c r="V1905" s="340"/>
      <c r="Z1905" s="340"/>
      <c r="AE1905" s="340"/>
      <c r="AI1905" s="340"/>
      <c r="AN1905" s="340"/>
      <c r="AO1905" s="340"/>
      <c r="AS1905" s="340"/>
      <c r="AX1905" s="340"/>
      <c r="BB1905" s="340"/>
      <c r="BD1905" s="339"/>
    </row>
    <row r="1906" spans="7:56" s="338" customFormat="1">
      <c r="G1906" s="340"/>
      <c r="L1906" s="340"/>
      <c r="P1906" s="340"/>
      <c r="U1906" s="340"/>
      <c r="V1906" s="340"/>
      <c r="Z1906" s="340"/>
      <c r="AE1906" s="340"/>
      <c r="AI1906" s="340"/>
      <c r="AN1906" s="340"/>
      <c r="AO1906" s="340"/>
      <c r="AS1906" s="340"/>
      <c r="AX1906" s="340"/>
      <c r="BB1906" s="340"/>
      <c r="BD1906" s="339"/>
    </row>
    <row r="1907" spans="7:56" s="338" customFormat="1">
      <c r="G1907" s="340"/>
      <c r="L1907" s="340"/>
      <c r="P1907" s="340"/>
      <c r="U1907" s="340"/>
      <c r="V1907" s="340"/>
      <c r="Z1907" s="340"/>
      <c r="AE1907" s="340"/>
      <c r="AI1907" s="340"/>
      <c r="AN1907" s="340"/>
      <c r="AO1907" s="340"/>
      <c r="AS1907" s="340"/>
      <c r="AX1907" s="340"/>
      <c r="BB1907" s="340"/>
      <c r="BD1907" s="339"/>
    </row>
    <row r="1908" spans="7:56" s="338" customFormat="1">
      <c r="G1908" s="340"/>
      <c r="L1908" s="340"/>
      <c r="P1908" s="340"/>
      <c r="U1908" s="340"/>
      <c r="V1908" s="340"/>
      <c r="Z1908" s="340"/>
      <c r="AE1908" s="340"/>
      <c r="AI1908" s="340"/>
      <c r="AN1908" s="340"/>
      <c r="AO1908" s="340"/>
      <c r="AS1908" s="340"/>
      <c r="AX1908" s="340"/>
      <c r="BB1908" s="340"/>
      <c r="BD1908" s="339"/>
    </row>
    <row r="1909" spans="7:56" s="338" customFormat="1">
      <c r="G1909" s="340"/>
      <c r="L1909" s="340"/>
      <c r="P1909" s="340"/>
      <c r="U1909" s="340"/>
      <c r="V1909" s="340"/>
      <c r="Z1909" s="340"/>
      <c r="AE1909" s="340"/>
      <c r="AI1909" s="340"/>
      <c r="AN1909" s="340"/>
      <c r="AO1909" s="340"/>
      <c r="AS1909" s="340"/>
      <c r="AX1909" s="340"/>
      <c r="BB1909" s="340"/>
      <c r="BD1909" s="339"/>
    </row>
    <row r="1910" spans="7:56" s="338" customFormat="1">
      <c r="G1910" s="340"/>
      <c r="L1910" s="340"/>
      <c r="P1910" s="340"/>
      <c r="U1910" s="340"/>
      <c r="V1910" s="340"/>
      <c r="Z1910" s="340"/>
      <c r="AE1910" s="340"/>
      <c r="AI1910" s="340"/>
      <c r="AN1910" s="340"/>
      <c r="AO1910" s="340"/>
      <c r="AS1910" s="340"/>
      <c r="AX1910" s="340"/>
      <c r="BB1910" s="340"/>
      <c r="BD1910" s="339"/>
    </row>
    <row r="1911" spans="7:56" s="338" customFormat="1">
      <c r="G1911" s="340"/>
      <c r="L1911" s="340"/>
      <c r="P1911" s="340"/>
      <c r="U1911" s="340"/>
      <c r="V1911" s="340"/>
      <c r="Z1911" s="340"/>
      <c r="AE1911" s="340"/>
      <c r="AI1911" s="340"/>
      <c r="AN1911" s="340"/>
      <c r="AO1911" s="340"/>
      <c r="AS1911" s="340"/>
      <c r="AX1911" s="340"/>
      <c r="BB1911" s="340"/>
      <c r="BD1911" s="339"/>
    </row>
    <row r="1912" spans="7:56" s="338" customFormat="1">
      <c r="G1912" s="340"/>
      <c r="L1912" s="340"/>
      <c r="P1912" s="340"/>
      <c r="U1912" s="340"/>
      <c r="V1912" s="340"/>
      <c r="Z1912" s="340"/>
      <c r="AE1912" s="340"/>
      <c r="AI1912" s="340"/>
      <c r="AN1912" s="340"/>
      <c r="AO1912" s="340"/>
      <c r="AS1912" s="340"/>
      <c r="AX1912" s="340"/>
      <c r="BB1912" s="340"/>
      <c r="BD1912" s="339"/>
    </row>
    <row r="1913" spans="7:56" s="338" customFormat="1">
      <c r="G1913" s="340"/>
      <c r="L1913" s="340"/>
      <c r="P1913" s="340"/>
      <c r="U1913" s="340"/>
      <c r="V1913" s="340"/>
      <c r="Z1913" s="340"/>
      <c r="AE1913" s="340"/>
      <c r="AI1913" s="340"/>
      <c r="AN1913" s="340"/>
      <c r="AO1913" s="340"/>
      <c r="AS1913" s="340"/>
      <c r="AX1913" s="340"/>
      <c r="BB1913" s="340"/>
      <c r="BD1913" s="339"/>
    </row>
    <row r="1914" spans="7:56" s="338" customFormat="1">
      <c r="G1914" s="340"/>
      <c r="L1914" s="340"/>
      <c r="P1914" s="340"/>
      <c r="U1914" s="340"/>
      <c r="V1914" s="340"/>
      <c r="Z1914" s="340"/>
      <c r="AE1914" s="340"/>
      <c r="AI1914" s="340"/>
      <c r="AN1914" s="340"/>
      <c r="AO1914" s="340"/>
      <c r="AS1914" s="340"/>
      <c r="AX1914" s="340"/>
      <c r="BB1914" s="340"/>
      <c r="BD1914" s="339"/>
    </row>
    <row r="1915" spans="7:56" s="338" customFormat="1">
      <c r="G1915" s="340"/>
      <c r="L1915" s="340"/>
      <c r="P1915" s="340"/>
      <c r="U1915" s="340"/>
      <c r="V1915" s="340"/>
      <c r="Z1915" s="340"/>
      <c r="AE1915" s="340"/>
      <c r="AI1915" s="340"/>
      <c r="AN1915" s="340"/>
      <c r="AO1915" s="340"/>
      <c r="AS1915" s="340"/>
      <c r="AX1915" s="340"/>
      <c r="BB1915" s="340"/>
      <c r="BD1915" s="339"/>
    </row>
    <row r="1916" spans="7:56" s="338" customFormat="1">
      <c r="G1916" s="340"/>
      <c r="L1916" s="340"/>
      <c r="P1916" s="340"/>
      <c r="U1916" s="340"/>
      <c r="V1916" s="340"/>
      <c r="Z1916" s="340"/>
      <c r="AE1916" s="340"/>
      <c r="AI1916" s="340"/>
      <c r="AN1916" s="340"/>
      <c r="AO1916" s="340"/>
      <c r="AS1916" s="340"/>
      <c r="AX1916" s="340"/>
      <c r="BB1916" s="340"/>
      <c r="BD1916" s="339"/>
    </row>
    <row r="1917" spans="7:56" s="338" customFormat="1">
      <c r="G1917" s="340"/>
      <c r="L1917" s="340"/>
      <c r="P1917" s="340"/>
      <c r="U1917" s="340"/>
      <c r="V1917" s="340"/>
      <c r="Z1917" s="340"/>
      <c r="AE1917" s="340"/>
      <c r="AI1917" s="340"/>
      <c r="AN1917" s="340"/>
      <c r="AO1917" s="340"/>
      <c r="AS1917" s="340"/>
      <c r="AX1917" s="340"/>
      <c r="BB1917" s="340"/>
      <c r="BD1917" s="339"/>
    </row>
    <row r="1918" spans="7:56" s="338" customFormat="1">
      <c r="G1918" s="340"/>
      <c r="L1918" s="340"/>
      <c r="P1918" s="340"/>
      <c r="U1918" s="340"/>
      <c r="V1918" s="340"/>
      <c r="Z1918" s="340"/>
      <c r="AE1918" s="340"/>
      <c r="AI1918" s="340"/>
      <c r="AN1918" s="340"/>
      <c r="AO1918" s="340"/>
      <c r="AS1918" s="340"/>
      <c r="AX1918" s="340"/>
      <c r="BB1918" s="340"/>
      <c r="BD1918" s="339"/>
    </row>
    <row r="1919" spans="7:56" s="338" customFormat="1">
      <c r="G1919" s="340"/>
      <c r="L1919" s="340"/>
      <c r="P1919" s="340"/>
      <c r="U1919" s="340"/>
      <c r="V1919" s="340"/>
      <c r="Z1919" s="340"/>
      <c r="AE1919" s="340"/>
      <c r="AI1919" s="340"/>
      <c r="AN1919" s="340"/>
      <c r="AO1919" s="340"/>
      <c r="AS1919" s="340"/>
      <c r="AX1919" s="340"/>
      <c r="BB1919" s="340"/>
      <c r="BD1919" s="339"/>
    </row>
    <row r="1920" spans="7:56" s="338" customFormat="1">
      <c r="G1920" s="340"/>
      <c r="L1920" s="340"/>
      <c r="P1920" s="340"/>
      <c r="U1920" s="340"/>
      <c r="V1920" s="340"/>
      <c r="Z1920" s="340"/>
      <c r="AE1920" s="340"/>
      <c r="AI1920" s="340"/>
      <c r="AN1920" s="340"/>
      <c r="AO1920" s="340"/>
      <c r="AS1920" s="340"/>
      <c r="AX1920" s="340"/>
      <c r="BB1920" s="340"/>
      <c r="BD1920" s="339"/>
    </row>
    <row r="1921" spans="7:56" s="338" customFormat="1">
      <c r="G1921" s="340"/>
      <c r="L1921" s="340"/>
      <c r="P1921" s="340"/>
      <c r="U1921" s="340"/>
      <c r="V1921" s="340"/>
      <c r="Z1921" s="340"/>
      <c r="AE1921" s="340"/>
      <c r="AI1921" s="340"/>
      <c r="AN1921" s="340"/>
      <c r="AO1921" s="340"/>
      <c r="AS1921" s="340"/>
      <c r="AX1921" s="340"/>
      <c r="BB1921" s="340"/>
      <c r="BD1921" s="339"/>
    </row>
    <row r="1922" spans="7:56" s="338" customFormat="1">
      <c r="G1922" s="340"/>
      <c r="L1922" s="340"/>
      <c r="P1922" s="340"/>
      <c r="U1922" s="340"/>
      <c r="V1922" s="340"/>
      <c r="Z1922" s="340"/>
      <c r="AE1922" s="340"/>
      <c r="AI1922" s="340"/>
      <c r="AN1922" s="340"/>
      <c r="AO1922" s="340"/>
      <c r="AS1922" s="340"/>
      <c r="AX1922" s="340"/>
      <c r="BB1922" s="340"/>
      <c r="BD1922" s="339"/>
    </row>
    <row r="1923" spans="7:56" s="338" customFormat="1">
      <c r="G1923" s="340"/>
      <c r="L1923" s="340"/>
      <c r="P1923" s="340"/>
      <c r="U1923" s="340"/>
      <c r="V1923" s="340"/>
      <c r="Z1923" s="340"/>
      <c r="AE1923" s="340"/>
      <c r="AI1923" s="340"/>
      <c r="AN1923" s="340"/>
      <c r="AO1923" s="340"/>
      <c r="AS1923" s="340"/>
      <c r="AX1923" s="340"/>
      <c r="BB1923" s="340"/>
      <c r="BD1923" s="339"/>
    </row>
    <row r="1924" spans="7:56" s="338" customFormat="1">
      <c r="G1924" s="340"/>
      <c r="L1924" s="340"/>
      <c r="P1924" s="340"/>
      <c r="U1924" s="340"/>
      <c r="V1924" s="340"/>
      <c r="Z1924" s="340"/>
      <c r="AE1924" s="340"/>
      <c r="AI1924" s="340"/>
      <c r="AN1924" s="340"/>
      <c r="AO1924" s="340"/>
      <c r="AS1924" s="340"/>
      <c r="AX1924" s="340"/>
      <c r="BB1924" s="340"/>
      <c r="BD1924" s="339"/>
    </row>
    <row r="1925" spans="7:56" s="338" customFormat="1">
      <c r="G1925" s="340"/>
      <c r="L1925" s="340"/>
      <c r="P1925" s="340"/>
      <c r="U1925" s="340"/>
      <c r="V1925" s="340"/>
      <c r="Z1925" s="340"/>
      <c r="AE1925" s="340"/>
      <c r="AI1925" s="340"/>
      <c r="AN1925" s="340"/>
      <c r="AO1925" s="340"/>
      <c r="AS1925" s="340"/>
      <c r="AX1925" s="340"/>
      <c r="BB1925" s="340"/>
      <c r="BD1925" s="339"/>
    </row>
    <row r="1926" spans="7:56" s="338" customFormat="1">
      <c r="G1926" s="340"/>
      <c r="L1926" s="340"/>
      <c r="P1926" s="340"/>
      <c r="U1926" s="340"/>
      <c r="V1926" s="340"/>
      <c r="Z1926" s="340"/>
      <c r="AE1926" s="340"/>
      <c r="AI1926" s="340"/>
      <c r="AN1926" s="340"/>
      <c r="AO1926" s="340"/>
      <c r="AS1926" s="340"/>
      <c r="AX1926" s="340"/>
      <c r="BB1926" s="340"/>
      <c r="BD1926" s="339"/>
    </row>
    <row r="1927" spans="7:56" s="338" customFormat="1">
      <c r="G1927" s="340"/>
      <c r="L1927" s="340"/>
      <c r="P1927" s="340"/>
      <c r="U1927" s="340"/>
      <c r="V1927" s="340"/>
      <c r="Z1927" s="340"/>
      <c r="AE1927" s="340"/>
      <c r="AI1927" s="340"/>
      <c r="AN1927" s="340"/>
      <c r="AO1927" s="340"/>
      <c r="AS1927" s="340"/>
      <c r="AX1927" s="340"/>
      <c r="BB1927" s="340"/>
      <c r="BD1927" s="339"/>
    </row>
    <row r="1928" spans="7:56" s="338" customFormat="1">
      <c r="G1928" s="340"/>
      <c r="L1928" s="340"/>
      <c r="P1928" s="340"/>
      <c r="U1928" s="340"/>
      <c r="V1928" s="340"/>
      <c r="Z1928" s="340"/>
      <c r="AE1928" s="340"/>
      <c r="AI1928" s="340"/>
      <c r="AN1928" s="340"/>
      <c r="AO1928" s="340"/>
      <c r="AS1928" s="340"/>
      <c r="AX1928" s="340"/>
      <c r="BB1928" s="340"/>
      <c r="BD1928" s="339"/>
    </row>
    <row r="1929" spans="7:56" s="338" customFormat="1">
      <c r="G1929" s="340"/>
      <c r="L1929" s="340"/>
      <c r="P1929" s="340"/>
      <c r="U1929" s="340"/>
      <c r="V1929" s="340"/>
      <c r="Z1929" s="340"/>
      <c r="AE1929" s="340"/>
      <c r="AI1929" s="340"/>
      <c r="AN1929" s="340"/>
      <c r="AO1929" s="340"/>
      <c r="AS1929" s="340"/>
      <c r="AX1929" s="340"/>
      <c r="BB1929" s="340"/>
      <c r="BD1929" s="339"/>
    </row>
    <row r="1930" spans="7:56" s="338" customFormat="1">
      <c r="G1930" s="340"/>
      <c r="L1930" s="340"/>
      <c r="P1930" s="340"/>
      <c r="U1930" s="340"/>
      <c r="V1930" s="340"/>
      <c r="Z1930" s="340"/>
      <c r="AE1930" s="340"/>
      <c r="AI1930" s="340"/>
      <c r="AN1930" s="340"/>
      <c r="AO1930" s="340"/>
      <c r="AS1930" s="340"/>
      <c r="AX1930" s="340"/>
      <c r="BB1930" s="340"/>
      <c r="BD1930" s="339"/>
    </row>
    <row r="1931" spans="7:56" s="338" customFormat="1">
      <c r="G1931" s="340"/>
      <c r="L1931" s="340"/>
      <c r="P1931" s="340"/>
      <c r="U1931" s="340"/>
      <c r="V1931" s="340"/>
      <c r="Z1931" s="340"/>
      <c r="AE1931" s="340"/>
      <c r="AI1931" s="340"/>
      <c r="AN1931" s="340"/>
      <c r="AO1931" s="340"/>
      <c r="AS1931" s="340"/>
      <c r="AX1931" s="340"/>
      <c r="BB1931" s="340"/>
      <c r="BD1931" s="339"/>
    </row>
    <row r="1932" spans="7:56" s="338" customFormat="1">
      <c r="G1932" s="340"/>
      <c r="L1932" s="340"/>
      <c r="P1932" s="340"/>
      <c r="U1932" s="340"/>
      <c r="V1932" s="340"/>
      <c r="Z1932" s="340"/>
      <c r="AE1932" s="340"/>
      <c r="AI1932" s="340"/>
      <c r="AN1932" s="340"/>
      <c r="AO1932" s="340"/>
      <c r="AS1932" s="340"/>
      <c r="AX1932" s="340"/>
      <c r="BB1932" s="340"/>
      <c r="BD1932" s="339"/>
    </row>
    <row r="1933" spans="7:56" s="338" customFormat="1">
      <c r="G1933" s="340"/>
      <c r="L1933" s="340"/>
      <c r="P1933" s="340"/>
      <c r="U1933" s="340"/>
      <c r="V1933" s="340"/>
      <c r="Z1933" s="340"/>
      <c r="AE1933" s="340"/>
      <c r="AI1933" s="340"/>
      <c r="AN1933" s="340"/>
      <c r="AO1933" s="340"/>
      <c r="AS1933" s="340"/>
      <c r="AX1933" s="340"/>
      <c r="BB1933" s="340"/>
      <c r="BD1933" s="339"/>
    </row>
    <row r="1934" spans="7:56" s="338" customFormat="1">
      <c r="G1934" s="340"/>
      <c r="L1934" s="340"/>
      <c r="P1934" s="340"/>
      <c r="U1934" s="340"/>
      <c r="V1934" s="340"/>
      <c r="Z1934" s="340"/>
      <c r="AE1934" s="340"/>
      <c r="AI1934" s="340"/>
      <c r="AN1934" s="340"/>
      <c r="AO1934" s="340"/>
      <c r="AS1934" s="340"/>
      <c r="AX1934" s="340"/>
      <c r="BB1934" s="340"/>
      <c r="BD1934" s="339"/>
    </row>
    <row r="1935" spans="7:56" s="338" customFormat="1">
      <c r="G1935" s="340"/>
      <c r="L1935" s="340"/>
      <c r="P1935" s="340"/>
      <c r="U1935" s="340"/>
      <c r="V1935" s="340"/>
      <c r="Z1935" s="340"/>
      <c r="AE1935" s="340"/>
      <c r="AI1935" s="340"/>
      <c r="AN1935" s="340"/>
      <c r="AO1935" s="340"/>
      <c r="AS1935" s="340"/>
      <c r="AX1935" s="340"/>
      <c r="BB1935" s="340"/>
      <c r="BD1935" s="339"/>
    </row>
    <row r="1936" spans="7:56" s="338" customFormat="1">
      <c r="G1936" s="340"/>
      <c r="L1936" s="340"/>
      <c r="P1936" s="340"/>
      <c r="U1936" s="340"/>
      <c r="V1936" s="340"/>
      <c r="Z1936" s="340"/>
      <c r="AE1936" s="340"/>
      <c r="AI1936" s="340"/>
      <c r="AN1936" s="340"/>
      <c r="AO1936" s="340"/>
      <c r="AS1936" s="340"/>
      <c r="AX1936" s="340"/>
      <c r="BB1936" s="340"/>
      <c r="BD1936" s="339"/>
    </row>
    <row r="1937" spans="7:56" s="338" customFormat="1">
      <c r="G1937" s="340"/>
      <c r="L1937" s="340"/>
      <c r="P1937" s="340"/>
      <c r="U1937" s="340"/>
      <c r="V1937" s="340"/>
      <c r="Z1937" s="340"/>
      <c r="AE1937" s="340"/>
      <c r="AI1937" s="340"/>
      <c r="AN1937" s="340"/>
      <c r="AO1937" s="340"/>
      <c r="AS1937" s="340"/>
      <c r="AX1937" s="340"/>
      <c r="BB1937" s="340"/>
      <c r="BD1937" s="339"/>
    </row>
    <row r="1938" spans="7:56" s="338" customFormat="1">
      <c r="G1938" s="340"/>
      <c r="L1938" s="340"/>
      <c r="P1938" s="340"/>
      <c r="U1938" s="340"/>
      <c r="V1938" s="340"/>
      <c r="Z1938" s="340"/>
      <c r="AE1938" s="340"/>
      <c r="AI1938" s="340"/>
      <c r="AN1938" s="340"/>
      <c r="AO1938" s="340"/>
      <c r="AS1938" s="340"/>
      <c r="AX1938" s="340"/>
      <c r="BB1938" s="340"/>
      <c r="BD1938" s="339"/>
    </row>
    <row r="1939" spans="7:56" s="338" customFormat="1">
      <c r="G1939" s="340"/>
      <c r="L1939" s="340"/>
      <c r="P1939" s="340"/>
      <c r="U1939" s="340"/>
      <c r="V1939" s="340"/>
      <c r="Z1939" s="340"/>
      <c r="AE1939" s="340"/>
      <c r="AI1939" s="340"/>
      <c r="AN1939" s="340"/>
      <c r="AO1939" s="340"/>
      <c r="AS1939" s="340"/>
      <c r="AX1939" s="340"/>
      <c r="BB1939" s="340"/>
      <c r="BD1939" s="339"/>
    </row>
    <row r="1940" spans="7:56" s="338" customFormat="1">
      <c r="G1940" s="340"/>
      <c r="L1940" s="340"/>
      <c r="P1940" s="340"/>
      <c r="U1940" s="340"/>
      <c r="V1940" s="340"/>
      <c r="Z1940" s="340"/>
      <c r="AE1940" s="340"/>
      <c r="AI1940" s="340"/>
      <c r="AN1940" s="340"/>
      <c r="AO1940" s="340"/>
      <c r="AS1940" s="340"/>
      <c r="AX1940" s="340"/>
      <c r="BB1940" s="340"/>
      <c r="BD1940" s="339"/>
    </row>
    <row r="1941" spans="7:56" s="338" customFormat="1">
      <c r="G1941" s="340"/>
      <c r="L1941" s="340"/>
      <c r="P1941" s="340"/>
      <c r="U1941" s="340"/>
      <c r="V1941" s="340"/>
      <c r="Z1941" s="340"/>
      <c r="AE1941" s="340"/>
      <c r="AI1941" s="340"/>
      <c r="AN1941" s="340"/>
      <c r="AO1941" s="340"/>
      <c r="AS1941" s="340"/>
      <c r="AX1941" s="340"/>
      <c r="BB1941" s="340"/>
      <c r="BD1941" s="339"/>
    </row>
    <row r="1942" spans="7:56" s="338" customFormat="1">
      <c r="G1942" s="340"/>
      <c r="L1942" s="340"/>
      <c r="P1942" s="340"/>
      <c r="U1942" s="340"/>
      <c r="V1942" s="340"/>
      <c r="Z1942" s="340"/>
      <c r="AE1942" s="340"/>
      <c r="AI1942" s="340"/>
      <c r="AN1942" s="340"/>
      <c r="AO1942" s="340"/>
      <c r="AS1942" s="340"/>
      <c r="AX1942" s="340"/>
      <c r="BB1942" s="340"/>
      <c r="BD1942" s="339"/>
    </row>
    <row r="1943" spans="7:56" s="338" customFormat="1">
      <c r="G1943" s="340"/>
      <c r="L1943" s="340"/>
      <c r="P1943" s="340"/>
      <c r="U1943" s="340"/>
      <c r="V1943" s="340"/>
      <c r="Z1943" s="340"/>
      <c r="AE1943" s="340"/>
      <c r="AI1943" s="340"/>
      <c r="AN1943" s="340"/>
      <c r="AO1943" s="340"/>
      <c r="AS1943" s="340"/>
      <c r="AX1943" s="340"/>
      <c r="BB1943" s="340"/>
      <c r="BD1943" s="339"/>
    </row>
    <row r="1944" spans="7:56" s="338" customFormat="1">
      <c r="G1944" s="340"/>
      <c r="L1944" s="340"/>
      <c r="P1944" s="340"/>
      <c r="U1944" s="340"/>
      <c r="V1944" s="340"/>
      <c r="Z1944" s="340"/>
      <c r="AE1944" s="340"/>
      <c r="AI1944" s="340"/>
      <c r="AN1944" s="340"/>
      <c r="AO1944" s="340"/>
      <c r="AS1944" s="340"/>
      <c r="AX1944" s="340"/>
      <c r="BB1944" s="340"/>
      <c r="BD1944" s="339"/>
    </row>
    <row r="1945" spans="7:56" s="338" customFormat="1">
      <c r="G1945" s="340"/>
      <c r="L1945" s="340"/>
      <c r="P1945" s="340"/>
      <c r="U1945" s="340"/>
      <c r="V1945" s="340"/>
      <c r="Z1945" s="340"/>
      <c r="AE1945" s="340"/>
      <c r="AI1945" s="340"/>
      <c r="AN1945" s="340"/>
      <c r="AO1945" s="340"/>
      <c r="AS1945" s="340"/>
      <c r="AX1945" s="340"/>
      <c r="BB1945" s="340"/>
      <c r="BD1945" s="339"/>
    </row>
    <row r="1946" spans="7:56" s="338" customFormat="1">
      <c r="G1946" s="340"/>
      <c r="L1946" s="340"/>
      <c r="P1946" s="340"/>
      <c r="U1946" s="340"/>
      <c r="V1946" s="340"/>
      <c r="Z1946" s="340"/>
      <c r="AE1946" s="340"/>
      <c r="AI1946" s="340"/>
      <c r="AN1946" s="340"/>
      <c r="AO1946" s="340"/>
      <c r="AS1946" s="340"/>
      <c r="AX1946" s="340"/>
      <c r="BB1946" s="340"/>
      <c r="BD1946" s="339"/>
    </row>
    <row r="1947" spans="7:56" s="338" customFormat="1">
      <c r="G1947" s="340"/>
      <c r="L1947" s="340"/>
      <c r="P1947" s="340"/>
      <c r="U1947" s="340"/>
      <c r="V1947" s="340"/>
      <c r="Z1947" s="340"/>
      <c r="AE1947" s="340"/>
      <c r="AI1947" s="340"/>
      <c r="AN1947" s="340"/>
      <c r="AO1947" s="340"/>
      <c r="AS1947" s="340"/>
      <c r="AX1947" s="340"/>
      <c r="BB1947" s="340"/>
      <c r="BD1947" s="339"/>
    </row>
    <row r="1948" spans="7:56" s="338" customFormat="1">
      <c r="G1948" s="340"/>
      <c r="L1948" s="340"/>
      <c r="P1948" s="340"/>
      <c r="U1948" s="340"/>
      <c r="V1948" s="340"/>
      <c r="Z1948" s="340"/>
      <c r="AE1948" s="340"/>
      <c r="AI1948" s="340"/>
      <c r="AN1948" s="340"/>
      <c r="AO1948" s="340"/>
      <c r="AS1948" s="340"/>
      <c r="AX1948" s="340"/>
      <c r="BB1948" s="340"/>
      <c r="BD1948" s="339"/>
    </row>
    <row r="1949" spans="7:56" s="338" customFormat="1">
      <c r="G1949" s="340"/>
      <c r="L1949" s="340"/>
      <c r="P1949" s="340"/>
      <c r="U1949" s="340"/>
      <c r="V1949" s="340"/>
      <c r="Z1949" s="340"/>
      <c r="AE1949" s="340"/>
      <c r="AI1949" s="340"/>
      <c r="AN1949" s="340"/>
      <c r="AO1949" s="340"/>
      <c r="AS1949" s="340"/>
      <c r="AX1949" s="340"/>
      <c r="BB1949" s="340"/>
      <c r="BD1949" s="339"/>
    </row>
    <row r="1950" spans="7:56" s="338" customFormat="1">
      <c r="G1950" s="340"/>
      <c r="L1950" s="340"/>
      <c r="P1950" s="340"/>
      <c r="U1950" s="340"/>
      <c r="V1950" s="340"/>
      <c r="Z1950" s="340"/>
      <c r="AE1950" s="340"/>
      <c r="AI1950" s="340"/>
      <c r="AN1950" s="340"/>
      <c r="AO1950" s="340"/>
      <c r="AS1950" s="340"/>
      <c r="AX1950" s="340"/>
      <c r="BB1950" s="340"/>
      <c r="BD1950" s="339"/>
    </row>
    <row r="1951" spans="7:56" s="338" customFormat="1">
      <c r="G1951" s="340"/>
      <c r="L1951" s="340"/>
      <c r="P1951" s="340"/>
      <c r="U1951" s="340"/>
      <c r="V1951" s="340"/>
      <c r="Z1951" s="340"/>
      <c r="AE1951" s="340"/>
      <c r="AI1951" s="340"/>
      <c r="AN1951" s="340"/>
      <c r="AO1951" s="340"/>
      <c r="AS1951" s="340"/>
      <c r="AX1951" s="340"/>
      <c r="BB1951" s="340"/>
      <c r="BD1951" s="339"/>
    </row>
    <row r="1952" spans="7:56" s="338" customFormat="1">
      <c r="G1952" s="340"/>
      <c r="L1952" s="340"/>
      <c r="P1952" s="340"/>
      <c r="U1952" s="340"/>
      <c r="V1952" s="340"/>
      <c r="Z1952" s="340"/>
      <c r="AE1952" s="340"/>
      <c r="AI1952" s="340"/>
      <c r="AN1952" s="340"/>
      <c r="AO1952" s="340"/>
      <c r="AS1952" s="340"/>
      <c r="AX1952" s="340"/>
      <c r="BB1952" s="340"/>
      <c r="BD1952" s="339"/>
    </row>
    <row r="1953" spans="7:56" s="338" customFormat="1">
      <c r="G1953" s="340"/>
      <c r="L1953" s="340"/>
      <c r="P1953" s="340"/>
      <c r="U1953" s="340"/>
      <c r="V1953" s="340"/>
      <c r="Z1953" s="340"/>
      <c r="AE1953" s="340"/>
      <c r="AI1953" s="340"/>
      <c r="AN1953" s="340"/>
      <c r="AO1953" s="340"/>
      <c r="AS1953" s="340"/>
      <c r="AX1953" s="340"/>
      <c r="BB1953" s="340"/>
      <c r="BD1953" s="339"/>
    </row>
    <row r="1954" spans="7:56" s="338" customFormat="1">
      <c r="G1954" s="340"/>
      <c r="L1954" s="340"/>
      <c r="P1954" s="340"/>
      <c r="U1954" s="340"/>
      <c r="V1954" s="340"/>
      <c r="Z1954" s="340"/>
      <c r="AE1954" s="340"/>
      <c r="AI1954" s="340"/>
      <c r="AN1954" s="340"/>
      <c r="AO1954" s="340"/>
      <c r="AS1954" s="340"/>
      <c r="AX1954" s="340"/>
      <c r="BB1954" s="340"/>
      <c r="BD1954" s="339"/>
    </row>
    <row r="1955" spans="7:56" s="338" customFormat="1">
      <c r="G1955" s="340"/>
      <c r="L1955" s="340"/>
      <c r="P1955" s="340"/>
      <c r="U1955" s="340"/>
      <c r="V1955" s="340"/>
      <c r="Z1955" s="340"/>
      <c r="AE1955" s="340"/>
      <c r="AI1955" s="340"/>
      <c r="AN1955" s="340"/>
      <c r="AO1955" s="340"/>
      <c r="AS1955" s="340"/>
      <c r="AX1955" s="340"/>
      <c r="BB1955" s="340"/>
      <c r="BD1955" s="339"/>
    </row>
    <row r="1956" spans="7:56" s="338" customFormat="1">
      <c r="G1956" s="340"/>
      <c r="L1956" s="340"/>
      <c r="P1956" s="340"/>
      <c r="U1956" s="340"/>
      <c r="V1956" s="340"/>
      <c r="Z1956" s="340"/>
      <c r="AE1956" s="340"/>
      <c r="AI1956" s="340"/>
      <c r="AN1956" s="340"/>
      <c r="AO1956" s="340"/>
      <c r="AS1956" s="340"/>
      <c r="AX1956" s="340"/>
      <c r="BB1956" s="340"/>
      <c r="BD1956" s="339"/>
    </row>
    <row r="1957" spans="7:56" s="338" customFormat="1">
      <c r="G1957" s="340"/>
      <c r="L1957" s="340"/>
      <c r="P1957" s="340"/>
      <c r="U1957" s="340"/>
      <c r="V1957" s="340"/>
      <c r="Z1957" s="340"/>
      <c r="AE1957" s="340"/>
      <c r="AI1957" s="340"/>
      <c r="AN1957" s="340"/>
      <c r="AO1957" s="340"/>
      <c r="AS1957" s="340"/>
      <c r="AX1957" s="340"/>
      <c r="BB1957" s="340"/>
      <c r="BD1957" s="339"/>
    </row>
    <row r="1958" spans="7:56" s="338" customFormat="1">
      <c r="G1958" s="340"/>
      <c r="L1958" s="340"/>
      <c r="P1958" s="340"/>
      <c r="U1958" s="340"/>
      <c r="V1958" s="340"/>
      <c r="Z1958" s="340"/>
      <c r="AE1958" s="340"/>
      <c r="AI1958" s="340"/>
      <c r="AN1958" s="340"/>
      <c r="AO1958" s="340"/>
      <c r="AS1958" s="340"/>
      <c r="AX1958" s="340"/>
      <c r="BB1958" s="340"/>
      <c r="BD1958" s="339"/>
    </row>
    <row r="1959" spans="7:56" s="338" customFormat="1">
      <c r="G1959" s="340"/>
      <c r="L1959" s="340"/>
      <c r="P1959" s="340"/>
      <c r="U1959" s="340"/>
      <c r="V1959" s="340"/>
      <c r="Z1959" s="340"/>
      <c r="AE1959" s="340"/>
      <c r="AI1959" s="340"/>
      <c r="AN1959" s="340"/>
      <c r="AO1959" s="340"/>
      <c r="AS1959" s="340"/>
      <c r="AX1959" s="340"/>
      <c r="BB1959" s="340"/>
      <c r="BD1959" s="339"/>
    </row>
    <row r="1960" spans="7:56" s="338" customFormat="1">
      <c r="G1960" s="340"/>
      <c r="L1960" s="340"/>
      <c r="P1960" s="340"/>
      <c r="U1960" s="340"/>
      <c r="V1960" s="340"/>
      <c r="Z1960" s="340"/>
      <c r="AE1960" s="340"/>
      <c r="AI1960" s="340"/>
      <c r="AN1960" s="340"/>
      <c r="AO1960" s="340"/>
      <c r="AS1960" s="340"/>
      <c r="AX1960" s="340"/>
      <c r="BB1960" s="340"/>
      <c r="BD1960" s="339"/>
    </row>
    <row r="1961" spans="7:56" s="338" customFormat="1">
      <c r="G1961" s="340"/>
      <c r="L1961" s="340"/>
      <c r="P1961" s="340"/>
      <c r="U1961" s="340"/>
      <c r="V1961" s="340"/>
      <c r="Z1961" s="340"/>
      <c r="AE1961" s="340"/>
      <c r="AI1961" s="340"/>
      <c r="AN1961" s="340"/>
      <c r="AO1961" s="340"/>
      <c r="AS1961" s="340"/>
      <c r="AX1961" s="340"/>
      <c r="BB1961" s="340"/>
      <c r="BD1961" s="339"/>
    </row>
    <row r="1962" spans="7:56" s="338" customFormat="1">
      <c r="G1962" s="340"/>
      <c r="L1962" s="340"/>
      <c r="P1962" s="340"/>
      <c r="U1962" s="340"/>
      <c r="V1962" s="340"/>
      <c r="Z1962" s="340"/>
      <c r="AE1962" s="340"/>
      <c r="AI1962" s="340"/>
      <c r="AN1962" s="340"/>
      <c r="AO1962" s="340"/>
      <c r="AS1962" s="340"/>
      <c r="AX1962" s="340"/>
      <c r="BB1962" s="340"/>
      <c r="BD1962" s="339"/>
    </row>
    <row r="1963" spans="7:56" s="338" customFormat="1">
      <c r="G1963" s="340"/>
      <c r="L1963" s="340"/>
      <c r="P1963" s="340"/>
      <c r="U1963" s="340"/>
      <c r="V1963" s="340"/>
      <c r="Z1963" s="340"/>
      <c r="AE1963" s="340"/>
      <c r="AI1963" s="340"/>
      <c r="AN1963" s="340"/>
      <c r="AO1963" s="340"/>
      <c r="AS1963" s="340"/>
      <c r="AX1963" s="340"/>
      <c r="BB1963" s="340"/>
      <c r="BD1963" s="339"/>
    </row>
    <row r="1964" spans="7:56" s="338" customFormat="1">
      <c r="G1964" s="340"/>
      <c r="L1964" s="340"/>
      <c r="P1964" s="340"/>
      <c r="U1964" s="340"/>
      <c r="V1964" s="340"/>
      <c r="Z1964" s="340"/>
      <c r="AE1964" s="340"/>
      <c r="AI1964" s="340"/>
      <c r="AN1964" s="340"/>
      <c r="AO1964" s="340"/>
      <c r="AS1964" s="340"/>
      <c r="AX1964" s="340"/>
      <c r="BB1964" s="340"/>
      <c r="BD1964" s="339"/>
    </row>
    <row r="1965" spans="7:56" s="338" customFormat="1">
      <c r="G1965" s="340"/>
      <c r="L1965" s="340"/>
      <c r="P1965" s="340"/>
      <c r="U1965" s="340"/>
      <c r="V1965" s="340"/>
      <c r="Z1965" s="340"/>
      <c r="AE1965" s="340"/>
      <c r="AI1965" s="340"/>
      <c r="AN1965" s="340"/>
      <c r="AO1965" s="340"/>
      <c r="AS1965" s="340"/>
      <c r="AX1965" s="340"/>
      <c r="BB1965" s="340"/>
      <c r="BD1965" s="339"/>
    </row>
    <row r="1966" spans="7:56" s="338" customFormat="1">
      <c r="G1966" s="340"/>
      <c r="L1966" s="340"/>
      <c r="P1966" s="340"/>
      <c r="U1966" s="340"/>
      <c r="V1966" s="340"/>
      <c r="Z1966" s="340"/>
      <c r="AE1966" s="340"/>
      <c r="AI1966" s="340"/>
      <c r="AN1966" s="340"/>
      <c r="AO1966" s="340"/>
      <c r="AS1966" s="340"/>
      <c r="AX1966" s="340"/>
      <c r="BB1966" s="340"/>
      <c r="BD1966" s="339"/>
    </row>
    <row r="1967" spans="7:56" s="338" customFormat="1">
      <c r="G1967" s="340"/>
      <c r="L1967" s="340"/>
      <c r="P1967" s="340"/>
      <c r="U1967" s="340"/>
      <c r="V1967" s="340"/>
      <c r="Z1967" s="340"/>
      <c r="AE1967" s="340"/>
      <c r="AI1967" s="340"/>
      <c r="AN1967" s="340"/>
      <c r="AO1967" s="340"/>
      <c r="AS1967" s="340"/>
      <c r="AX1967" s="340"/>
      <c r="BB1967" s="340"/>
      <c r="BD1967" s="339"/>
    </row>
    <row r="1968" spans="7:56" s="338" customFormat="1">
      <c r="G1968" s="340"/>
      <c r="L1968" s="340"/>
      <c r="P1968" s="340"/>
      <c r="U1968" s="340"/>
      <c r="V1968" s="340"/>
      <c r="Z1968" s="340"/>
      <c r="AE1968" s="340"/>
      <c r="AI1968" s="340"/>
      <c r="AN1968" s="340"/>
      <c r="AO1968" s="340"/>
      <c r="AS1968" s="340"/>
      <c r="AX1968" s="340"/>
      <c r="BB1968" s="340"/>
      <c r="BD1968" s="339"/>
    </row>
    <row r="1969" spans="7:56" s="338" customFormat="1">
      <c r="G1969" s="340"/>
      <c r="L1969" s="340"/>
      <c r="P1969" s="340"/>
      <c r="U1969" s="340"/>
      <c r="V1969" s="340"/>
      <c r="Z1969" s="340"/>
      <c r="AE1969" s="340"/>
      <c r="AI1969" s="340"/>
      <c r="AN1969" s="340"/>
      <c r="AO1969" s="340"/>
      <c r="AS1969" s="340"/>
      <c r="AX1969" s="340"/>
      <c r="BB1969" s="340"/>
      <c r="BD1969" s="339"/>
    </row>
    <row r="1970" spans="7:56" s="338" customFormat="1">
      <c r="G1970" s="340"/>
      <c r="L1970" s="340"/>
      <c r="P1970" s="340"/>
      <c r="U1970" s="340"/>
      <c r="V1970" s="340"/>
      <c r="Z1970" s="340"/>
      <c r="AE1970" s="340"/>
      <c r="AI1970" s="340"/>
      <c r="AN1970" s="340"/>
      <c r="AO1970" s="340"/>
      <c r="AS1970" s="340"/>
      <c r="AX1970" s="340"/>
      <c r="BB1970" s="340"/>
      <c r="BD1970" s="339"/>
    </row>
    <row r="1971" spans="7:56" s="338" customFormat="1">
      <c r="G1971" s="340"/>
      <c r="L1971" s="340"/>
      <c r="P1971" s="340"/>
      <c r="U1971" s="340"/>
      <c r="V1971" s="340"/>
      <c r="Z1971" s="340"/>
      <c r="AE1971" s="340"/>
      <c r="AI1971" s="340"/>
      <c r="AN1971" s="340"/>
      <c r="AO1971" s="340"/>
      <c r="AS1971" s="340"/>
      <c r="AX1971" s="340"/>
      <c r="BB1971" s="340"/>
      <c r="BD1971" s="339"/>
    </row>
    <row r="1972" spans="7:56" s="338" customFormat="1">
      <c r="G1972" s="340"/>
      <c r="L1972" s="340"/>
      <c r="P1972" s="340"/>
      <c r="U1972" s="340"/>
      <c r="V1972" s="340"/>
      <c r="Z1972" s="340"/>
      <c r="AE1972" s="340"/>
      <c r="AI1972" s="340"/>
      <c r="AN1972" s="340"/>
      <c r="AO1972" s="340"/>
      <c r="AS1972" s="340"/>
      <c r="AX1972" s="340"/>
      <c r="BB1972" s="340"/>
      <c r="BD1972" s="339"/>
    </row>
    <row r="1973" spans="7:56" s="338" customFormat="1">
      <c r="G1973" s="340"/>
      <c r="L1973" s="340"/>
      <c r="P1973" s="340"/>
      <c r="U1973" s="340"/>
      <c r="V1973" s="340"/>
      <c r="Z1973" s="340"/>
      <c r="AE1973" s="340"/>
      <c r="AI1973" s="340"/>
      <c r="AN1973" s="340"/>
      <c r="AO1973" s="340"/>
      <c r="AS1973" s="340"/>
      <c r="AX1973" s="340"/>
      <c r="BB1973" s="340"/>
      <c r="BD1973" s="339"/>
    </row>
    <row r="1974" spans="7:56" s="338" customFormat="1">
      <c r="G1974" s="340"/>
      <c r="L1974" s="340"/>
      <c r="P1974" s="340"/>
      <c r="U1974" s="340"/>
      <c r="V1974" s="340"/>
      <c r="Z1974" s="340"/>
      <c r="AE1974" s="340"/>
      <c r="AI1974" s="340"/>
      <c r="AN1974" s="340"/>
      <c r="AO1974" s="340"/>
      <c r="AS1974" s="340"/>
      <c r="AX1974" s="340"/>
      <c r="BB1974" s="340"/>
      <c r="BD1974" s="339"/>
    </row>
    <row r="1975" spans="7:56" s="338" customFormat="1">
      <c r="G1975" s="340"/>
      <c r="L1975" s="340"/>
      <c r="P1975" s="340"/>
      <c r="U1975" s="340"/>
      <c r="V1975" s="340"/>
      <c r="Z1975" s="340"/>
      <c r="AE1975" s="340"/>
      <c r="AI1975" s="340"/>
      <c r="AN1975" s="340"/>
      <c r="AO1975" s="340"/>
      <c r="AS1975" s="340"/>
      <c r="AX1975" s="340"/>
      <c r="BB1975" s="340"/>
      <c r="BD1975" s="339"/>
    </row>
    <row r="1976" spans="7:56" s="338" customFormat="1">
      <c r="G1976" s="340"/>
      <c r="L1976" s="340"/>
      <c r="P1976" s="340"/>
      <c r="U1976" s="340"/>
      <c r="V1976" s="340"/>
      <c r="Z1976" s="340"/>
      <c r="AE1976" s="340"/>
      <c r="AI1976" s="340"/>
      <c r="AN1976" s="340"/>
      <c r="AO1976" s="340"/>
      <c r="AS1976" s="340"/>
      <c r="AX1976" s="340"/>
      <c r="BB1976" s="340"/>
      <c r="BD1976" s="339"/>
    </row>
    <row r="1977" spans="7:56" s="338" customFormat="1">
      <c r="G1977" s="340"/>
      <c r="L1977" s="340"/>
      <c r="P1977" s="340"/>
      <c r="U1977" s="340"/>
      <c r="V1977" s="340"/>
      <c r="Z1977" s="340"/>
      <c r="AE1977" s="340"/>
      <c r="AI1977" s="340"/>
      <c r="AN1977" s="340"/>
      <c r="AO1977" s="340"/>
      <c r="AS1977" s="340"/>
      <c r="AX1977" s="340"/>
      <c r="BB1977" s="340"/>
      <c r="BD1977" s="339"/>
    </row>
    <row r="1978" spans="7:56" s="338" customFormat="1">
      <c r="G1978" s="340"/>
      <c r="L1978" s="340"/>
      <c r="P1978" s="340"/>
      <c r="U1978" s="340"/>
      <c r="V1978" s="340"/>
      <c r="Z1978" s="340"/>
      <c r="AE1978" s="340"/>
      <c r="AI1978" s="340"/>
      <c r="AN1978" s="340"/>
      <c r="AO1978" s="340"/>
      <c r="AS1978" s="340"/>
      <c r="AX1978" s="340"/>
      <c r="BB1978" s="340"/>
      <c r="BD1978" s="339"/>
    </row>
    <row r="1979" spans="7:56" s="338" customFormat="1">
      <c r="G1979" s="340"/>
      <c r="L1979" s="340"/>
      <c r="P1979" s="340"/>
      <c r="U1979" s="340"/>
      <c r="V1979" s="340"/>
      <c r="Z1979" s="340"/>
      <c r="AE1979" s="340"/>
      <c r="AI1979" s="340"/>
      <c r="AN1979" s="340"/>
      <c r="AO1979" s="340"/>
      <c r="AS1979" s="340"/>
      <c r="AX1979" s="340"/>
      <c r="BB1979" s="340"/>
      <c r="BD1979" s="339"/>
    </row>
    <row r="1980" spans="7:56" s="338" customFormat="1">
      <c r="G1980" s="340"/>
      <c r="L1980" s="340"/>
      <c r="P1980" s="340"/>
      <c r="U1980" s="340"/>
      <c r="V1980" s="340"/>
      <c r="Z1980" s="340"/>
      <c r="AE1980" s="340"/>
      <c r="AI1980" s="340"/>
      <c r="AN1980" s="340"/>
      <c r="AO1980" s="340"/>
      <c r="AS1980" s="340"/>
      <c r="AX1980" s="340"/>
      <c r="BB1980" s="340"/>
      <c r="BD1980" s="339"/>
    </row>
    <row r="1981" spans="7:56" s="338" customFormat="1">
      <c r="G1981" s="340"/>
      <c r="L1981" s="340"/>
      <c r="P1981" s="340"/>
      <c r="U1981" s="340"/>
      <c r="V1981" s="340"/>
      <c r="Z1981" s="340"/>
      <c r="AE1981" s="340"/>
      <c r="AI1981" s="340"/>
      <c r="AN1981" s="340"/>
      <c r="AO1981" s="340"/>
      <c r="AS1981" s="340"/>
      <c r="AX1981" s="340"/>
      <c r="BB1981" s="340"/>
      <c r="BD1981" s="339"/>
    </row>
    <row r="1982" spans="7:56" s="338" customFormat="1">
      <c r="G1982" s="340"/>
      <c r="L1982" s="340"/>
      <c r="P1982" s="340"/>
      <c r="U1982" s="340"/>
      <c r="V1982" s="340"/>
      <c r="Z1982" s="340"/>
      <c r="AE1982" s="340"/>
      <c r="AI1982" s="340"/>
      <c r="AN1982" s="340"/>
      <c r="AO1982" s="340"/>
      <c r="AS1982" s="340"/>
      <c r="AX1982" s="340"/>
      <c r="BB1982" s="340"/>
      <c r="BD1982" s="339"/>
    </row>
    <row r="1983" spans="7:56" s="338" customFormat="1">
      <c r="G1983" s="340"/>
      <c r="L1983" s="340"/>
      <c r="P1983" s="340"/>
      <c r="U1983" s="340"/>
      <c r="V1983" s="340"/>
      <c r="Z1983" s="340"/>
      <c r="AE1983" s="340"/>
      <c r="AI1983" s="340"/>
      <c r="AN1983" s="340"/>
      <c r="AO1983" s="340"/>
      <c r="AS1983" s="340"/>
      <c r="AX1983" s="340"/>
      <c r="BB1983" s="340"/>
      <c r="BD1983" s="339"/>
    </row>
    <row r="1984" spans="7:56" s="338" customFormat="1">
      <c r="G1984" s="340"/>
      <c r="L1984" s="340"/>
      <c r="P1984" s="340"/>
      <c r="U1984" s="340"/>
      <c r="V1984" s="340"/>
      <c r="Z1984" s="340"/>
      <c r="AE1984" s="340"/>
      <c r="AI1984" s="340"/>
      <c r="AN1984" s="340"/>
      <c r="AO1984" s="340"/>
      <c r="AS1984" s="340"/>
      <c r="AX1984" s="340"/>
      <c r="BB1984" s="340"/>
      <c r="BD1984" s="339"/>
    </row>
    <row r="1985" spans="7:56" s="338" customFormat="1">
      <c r="G1985" s="340"/>
      <c r="L1985" s="340"/>
      <c r="P1985" s="340"/>
      <c r="U1985" s="340"/>
      <c r="V1985" s="340"/>
      <c r="Z1985" s="340"/>
      <c r="AE1985" s="340"/>
      <c r="AI1985" s="340"/>
      <c r="AN1985" s="340"/>
      <c r="AO1985" s="340"/>
      <c r="AS1985" s="340"/>
      <c r="AX1985" s="340"/>
      <c r="BB1985" s="340"/>
      <c r="BD1985" s="339"/>
    </row>
    <row r="1986" spans="7:56" s="338" customFormat="1">
      <c r="G1986" s="340"/>
      <c r="L1986" s="340"/>
      <c r="P1986" s="340"/>
      <c r="U1986" s="340"/>
      <c r="V1986" s="340"/>
      <c r="Z1986" s="340"/>
      <c r="AE1986" s="340"/>
      <c r="AI1986" s="340"/>
      <c r="AN1986" s="340"/>
      <c r="AO1986" s="340"/>
      <c r="AS1986" s="340"/>
      <c r="AX1986" s="340"/>
      <c r="BB1986" s="340"/>
      <c r="BD1986" s="339"/>
    </row>
    <row r="1987" spans="7:56" s="338" customFormat="1">
      <c r="G1987" s="340"/>
      <c r="L1987" s="340"/>
      <c r="P1987" s="340"/>
      <c r="U1987" s="340"/>
      <c r="V1987" s="340"/>
      <c r="Z1987" s="340"/>
      <c r="AE1987" s="340"/>
      <c r="AI1987" s="340"/>
      <c r="AN1987" s="340"/>
      <c r="AO1987" s="340"/>
      <c r="AS1987" s="340"/>
      <c r="AX1987" s="340"/>
      <c r="BB1987" s="340"/>
      <c r="BD1987" s="339"/>
    </row>
    <row r="1988" spans="7:56" s="338" customFormat="1">
      <c r="G1988" s="340"/>
      <c r="L1988" s="340"/>
      <c r="P1988" s="340"/>
      <c r="U1988" s="340"/>
      <c r="V1988" s="340"/>
      <c r="Z1988" s="340"/>
      <c r="AE1988" s="340"/>
      <c r="AI1988" s="340"/>
      <c r="AN1988" s="340"/>
      <c r="AO1988" s="340"/>
      <c r="AS1988" s="340"/>
      <c r="AX1988" s="340"/>
      <c r="BB1988" s="340"/>
      <c r="BD1988" s="339"/>
    </row>
    <row r="1989" spans="7:56" s="338" customFormat="1">
      <c r="G1989" s="340"/>
      <c r="L1989" s="340"/>
      <c r="P1989" s="340"/>
      <c r="U1989" s="340"/>
      <c r="V1989" s="340"/>
      <c r="Z1989" s="340"/>
      <c r="AE1989" s="340"/>
      <c r="AI1989" s="340"/>
      <c r="AN1989" s="340"/>
      <c r="AO1989" s="340"/>
      <c r="AS1989" s="340"/>
      <c r="AX1989" s="340"/>
      <c r="BB1989" s="340"/>
      <c r="BD1989" s="339"/>
    </row>
    <row r="1990" spans="7:56" s="338" customFormat="1">
      <c r="G1990" s="340"/>
      <c r="L1990" s="340"/>
      <c r="P1990" s="340"/>
      <c r="U1990" s="340"/>
      <c r="V1990" s="340"/>
      <c r="Z1990" s="340"/>
      <c r="AE1990" s="340"/>
      <c r="AI1990" s="340"/>
      <c r="AN1990" s="340"/>
      <c r="AO1990" s="340"/>
      <c r="AS1990" s="340"/>
      <c r="AX1990" s="340"/>
      <c r="BB1990" s="340"/>
      <c r="BD1990" s="339"/>
    </row>
    <row r="1991" spans="7:56" s="338" customFormat="1">
      <c r="G1991" s="340"/>
      <c r="L1991" s="340"/>
      <c r="P1991" s="340"/>
      <c r="U1991" s="340"/>
      <c r="V1991" s="340"/>
      <c r="Z1991" s="340"/>
      <c r="AE1991" s="340"/>
      <c r="AI1991" s="340"/>
      <c r="AN1991" s="340"/>
      <c r="AO1991" s="340"/>
      <c r="AS1991" s="340"/>
      <c r="AX1991" s="340"/>
      <c r="BB1991" s="340"/>
      <c r="BD1991" s="339"/>
    </row>
    <row r="1992" spans="7:56" s="338" customFormat="1">
      <c r="G1992" s="340"/>
      <c r="L1992" s="340"/>
      <c r="P1992" s="340"/>
      <c r="U1992" s="340"/>
      <c r="V1992" s="340"/>
      <c r="Z1992" s="340"/>
      <c r="AE1992" s="340"/>
      <c r="AI1992" s="340"/>
      <c r="AN1992" s="340"/>
      <c r="AO1992" s="340"/>
      <c r="AS1992" s="340"/>
      <c r="AX1992" s="340"/>
      <c r="BB1992" s="340"/>
      <c r="BD1992" s="339"/>
    </row>
    <row r="1993" spans="7:56" s="338" customFormat="1">
      <c r="G1993" s="340"/>
      <c r="L1993" s="340"/>
      <c r="P1993" s="340"/>
      <c r="U1993" s="340"/>
      <c r="V1993" s="340"/>
      <c r="Z1993" s="340"/>
      <c r="AE1993" s="340"/>
      <c r="AI1993" s="340"/>
      <c r="AN1993" s="340"/>
      <c r="AO1993" s="340"/>
      <c r="AS1993" s="340"/>
      <c r="AX1993" s="340"/>
      <c r="BB1993" s="340"/>
      <c r="BD1993" s="339"/>
    </row>
    <row r="1994" spans="7:56" s="338" customFormat="1">
      <c r="G1994" s="340"/>
      <c r="L1994" s="340"/>
      <c r="P1994" s="340"/>
      <c r="U1994" s="340"/>
      <c r="V1994" s="340"/>
      <c r="Z1994" s="340"/>
      <c r="AE1994" s="340"/>
      <c r="AI1994" s="340"/>
      <c r="AN1994" s="340"/>
      <c r="AO1994" s="340"/>
      <c r="AS1994" s="340"/>
      <c r="AX1994" s="340"/>
      <c r="BB1994" s="340"/>
      <c r="BD1994" s="339"/>
    </row>
    <row r="1995" spans="7:56" s="338" customFormat="1">
      <c r="G1995" s="340"/>
      <c r="L1995" s="340"/>
      <c r="P1995" s="340"/>
      <c r="U1995" s="340"/>
      <c r="V1995" s="340"/>
      <c r="Z1995" s="340"/>
      <c r="AE1995" s="340"/>
      <c r="AI1995" s="340"/>
      <c r="AN1995" s="340"/>
      <c r="AO1995" s="340"/>
      <c r="AS1995" s="340"/>
      <c r="AX1995" s="340"/>
      <c r="BB1995" s="340"/>
      <c r="BD1995" s="339"/>
    </row>
    <row r="1996" spans="7:56" s="338" customFormat="1">
      <c r="G1996" s="340"/>
      <c r="L1996" s="340"/>
      <c r="P1996" s="340"/>
      <c r="U1996" s="340"/>
      <c r="V1996" s="340"/>
      <c r="Z1996" s="340"/>
      <c r="AE1996" s="340"/>
      <c r="AI1996" s="340"/>
      <c r="AN1996" s="340"/>
      <c r="AO1996" s="340"/>
      <c r="AS1996" s="340"/>
      <c r="AX1996" s="340"/>
      <c r="BB1996" s="340"/>
      <c r="BD1996" s="339"/>
    </row>
    <row r="1997" spans="7:56" s="338" customFormat="1">
      <c r="G1997" s="340"/>
      <c r="L1997" s="340"/>
      <c r="P1997" s="340"/>
      <c r="U1997" s="340"/>
      <c r="V1997" s="340"/>
      <c r="Z1997" s="340"/>
      <c r="AE1997" s="340"/>
      <c r="AI1997" s="340"/>
      <c r="AN1997" s="340"/>
      <c r="AO1997" s="340"/>
      <c r="AS1997" s="340"/>
      <c r="AX1997" s="340"/>
      <c r="BB1997" s="340"/>
      <c r="BD1997" s="339"/>
    </row>
    <row r="1998" spans="7:56" s="338" customFormat="1">
      <c r="G1998" s="340"/>
      <c r="L1998" s="340"/>
      <c r="P1998" s="340"/>
      <c r="U1998" s="340"/>
      <c r="V1998" s="340"/>
      <c r="Z1998" s="340"/>
      <c r="AE1998" s="340"/>
      <c r="AI1998" s="340"/>
      <c r="AN1998" s="340"/>
      <c r="AO1998" s="340"/>
      <c r="AS1998" s="340"/>
      <c r="AX1998" s="340"/>
      <c r="BB1998" s="340"/>
      <c r="BD1998" s="339"/>
    </row>
    <row r="1999" spans="7:56" s="338" customFormat="1">
      <c r="G1999" s="340"/>
      <c r="L1999" s="340"/>
      <c r="P1999" s="340"/>
      <c r="U1999" s="340"/>
      <c r="V1999" s="340"/>
      <c r="Z1999" s="340"/>
      <c r="AE1999" s="340"/>
      <c r="AI1999" s="340"/>
      <c r="AN1999" s="340"/>
      <c r="AO1999" s="340"/>
      <c r="AS1999" s="340"/>
      <c r="AX1999" s="340"/>
      <c r="BB1999" s="340"/>
      <c r="BD1999" s="339"/>
    </row>
    <row r="2000" spans="7:56" s="338" customFormat="1">
      <c r="G2000" s="340"/>
      <c r="L2000" s="340"/>
      <c r="P2000" s="340"/>
      <c r="U2000" s="340"/>
      <c r="V2000" s="340"/>
      <c r="Z2000" s="340"/>
      <c r="AE2000" s="340"/>
      <c r="AI2000" s="340"/>
      <c r="AN2000" s="340"/>
      <c r="AO2000" s="340"/>
      <c r="AS2000" s="340"/>
      <c r="AX2000" s="340"/>
      <c r="BB2000" s="340"/>
      <c r="BD2000" s="339"/>
    </row>
    <row r="2001" spans="7:56" s="338" customFormat="1">
      <c r="G2001" s="340"/>
      <c r="L2001" s="340"/>
      <c r="P2001" s="340"/>
      <c r="U2001" s="340"/>
      <c r="V2001" s="340"/>
      <c r="Z2001" s="340"/>
      <c r="AE2001" s="340"/>
      <c r="AI2001" s="340"/>
      <c r="AN2001" s="340"/>
      <c r="AO2001" s="340"/>
      <c r="AS2001" s="340"/>
      <c r="AX2001" s="340"/>
      <c r="BB2001" s="340"/>
      <c r="BD2001" s="339"/>
    </row>
    <row r="2002" spans="7:56" s="338" customFormat="1">
      <c r="G2002" s="340"/>
      <c r="L2002" s="340"/>
      <c r="P2002" s="340"/>
      <c r="U2002" s="340"/>
      <c r="V2002" s="340"/>
      <c r="Z2002" s="340"/>
      <c r="AE2002" s="340"/>
      <c r="AI2002" s="340"/>
      <c r="AN2002" s="340"/>
      <c r="AO2002" s="340"/>
      <c r="AS2002" s="340"/>
      <c r="AX2002" s="340"/>
      <c r="BB2002" s="340"/>
      <c r="BD2002" s="339"/>
    </row>
    <row r="2003" spans="7:56" s="338" customFormat="1">
      <c r="G2003" s="340"/>
      <c r="L2003" s="340"/>
      <c r="P2003" s="340"/>
      <c r="U2003" s="340"/>
      <c r="V2003" s="340"/>
      <c r="Z2003" s="340"/>
      <c r="AE2003" s="340"/>
      <c r="AI2003" s="340"/>
      <c r="AN2003" s="340"/>
      <c r="AO2003" s="340"/>
      <c r="AS2003" s="340"/>
      <c r="AX2003" s="340"/>
      <c r="BB2003" s="340"/>
      <c r="BD2003" s="339"/>
    </row>
    <row r="2004" spans="7:56" s="338" customFormat="1">
      <c r="G2004" s="340"/>
      <c r="L2004" s="340"/>
      <c r="P2004" s="340"/>
      <c r="U2004" s="340"/>
      <c r="V2004" s="340"/>
      <c r="Z2004" s="340"/>
      <c r="AE2004" s="340"/>
      <c r="AI2004" s="340"/>
      <c r="AN2004" s="340"/>
      <c r="AO2004" s="340"/>
      <c r="AS2004" s="340"/>
      <c r="AX2004" s="340"/>
      <c r="BB2004" s="340"/>
      <c r="BD2004" s="339"/>
    </row>
    <row r="2005" spans="7:56" s="338" customFormat="1">
      <c r="G2005" s="340"/>
      <c r="L2005" s="340"/>
      <c r="P2005" s="340"/>
      <c r="U2005" s="340"/>
      <c r="V2005" s="340"/>
      <c r="Z2005" s="340"/>
      <c r="AE2005" s="340"/>
      <c r="AI2005" s="340"/>
      <c r="AN2005" s="340"/>
      <c r="AO2005" s="340"/>
      <c r="AS2005" s="340"/>
      <c r="AX2005" s="340"/>
      <c r="BB2005" s="340"/>
      <c r="BD2005" s="339"/>
    </row>
    <row r="2006" spans="7:56" s="338" customFormat="1">
      <c r="G2006" s="340"/>
      <c r="L2006" s="340"/>
      <c r="P2006" s="340"/>
      <c r="U2006" s="340"/>
      <c r="V2006" s="340"/>
      <c r="Z2006" s="340"/>
      <c r="AE2006" s="340"/>
      <c r="AI2006" s="340"/>
      <c r="AN2006" s="340"/>
      <c r="AO2006" s="340"/>
      <c r="AS2006" s="340"/>
      <c r="AX2006" s="340"/>
      <c r="BB2006" s="340"/>
      <c r="BD2006" s="339"/>
    </row>
    <row r="2007" spans="7:56" s="338" customFormat="1">
      <c r="G2007" s="340"/>
      <c r="L2007" s="340"/>
      <c r="P2007" s="340"/>
      <c r="U2007" s="340"/>
      <c r="V2007" s="340"/>
      <c r="Z2007" s="340"/>
      <c r="AE2007" s="340"/>
      <c r="AI2007" s="340"/>
      <c r="AN2007" s="340"/>
      <c r="AO2007" s="340"/>
      <c r="AS2007" s="340"/>
      <c r="AX2007" s="340"/>
      <c r="BB2007" s="340"/>
      <c r="BD2007" s="339"/>
    </row>
    <row r="2008" spans="7:56" s="338" customFormat="1">
      <c r="G2008" s="340"/>
      <c r="L2008" s="340"/>
      <c r="P2008" s="340"/>
      <c r="U2008" s="340"/>
      <c r="V2008" s="340"/>
      <c r="Z2008" s="340"/>
      <c r="AE2008" s="340"/>
      <c r="AI2008" s="340"/>
      <c r="AN2008" s="340"/>
      <c r="AO2008" s="340"/>
      <c r="AS2008" s="340"/>
      <c r="AX2008" s="340"/>
      <c r="BB2008" s="340"/>
      <c r="BD2008" s="339"/>
    </row>
    <row r="2009" spans="7:56" s="338" customFormat="1">
      <c r="G2009" s="340"/>
      <c r="L2009" s="340"/>
      <c r="P2009" s="340"/>
      <c r="U2009" s="340"/>
      <c r="V2009" s="340"/>
      <c r="Z2009" s="340"/>
      <c r="AE2009" s="340"/>
      <c r="AI2009" s="340"/>
      <c r="AN2009" s="340"/>
      <c r="AO2009" s="340"/>
      <c r="AS2009" s="340"/>
      <c r="AX2009" s="340"/>
      <c r="BB2009" s="340"/>
      <c r="BD2009" s="339"/>
    </row>
    <row r="2010" spans="7:56" s="338" customFormat="1">
      <c r="G2010" s="340"/>
      <c r="L2010" s="340"/>
      <c r="P2010" s="340"/>
      <c r="U2010" s="340"/>
      <c r="V2010" s="340"/>
      <c r="Z2010" s="340"/>
      <c r="AE2010" s="340"/>
      <c r="AI2010" s="340"/>
      <c r="AN2010" s="340"/>
      <c r="AO2010" s="340"/>
      <c r="AS2010" s="340"/>
      <c r="AX2010" s="340"/>
      <c r="BB2010" s="340"/>
      <c r="BD2010" s="339"/>
    </row>
    <row r="2011" spans="7:56" s="338" customFormat="1">
      <c r="G2011" s="340"/>
      <c r="L2011" s="340"/>
      <c r="P2011" s="340"/>
      <c r="U2011" s="340"/>
      <c r="V2011" s="340"/>
      <c r="Z2011" s="340"/>
      <c r="AE2011" s="340"/>
      <c r="AI2011" s="340"/>
      <c r="AN2011" s="340"/>
      <c r="AO2011" s="340"/>
      <c r="AS2011" s="340"/>
      <c r="AX2011" s="340"/>
      <c r="BB2011" s="340"/>
      <c r="BD2011" s="339"/>
    </row>
    <row r="2012" spans="7:56" s="338" customFormat="1">
      <c r="G2012" s="340"/>
      <c r="L2012" s="340"/>
      <c r="P2012" s="340"/>
      <c r="U2012" s="340"/>
      <c r="V2012" s="340"/>
      <c r="Z2012" s="340"/>
      <c r="AE2012" s="340"/>
      <c r="AI2012" s="340"/>
      <c r="AN2012" s="340"/>
      <c r="AO2012" s="340"/>
      <c r="AS2012" s="340"/>
      <c r="AX2012" s="340"/>
      <c r="BB2012" s="340"/>
      <c r="BD2012" s="339"/>
    </row>
    <row r="2013" spans="7:56" s="338" customFormat="1">
      <c r="G2013" s="340"/>
      <c r="L2013" s="340"/>
      <c r="P2013" s="340"/>
      <c r="U2013" s="340"/>
      <c r="V2013" s="340"/>
      <c r="Z2013" s="340"/>
      <c r="AE2013" s="340"/>
      <c r="AI2013" s="340"/>
      <c r="AN2013" s="340"/>
      <c r="AO2013" s="340"/>
      <c r="AS2013" s="340"/>
      <c r="AX2013" s="340"/>
      <c r="BB2013" s="340"/>
      <c r="BD2013" s="339"/>
    </row>
    <row r="2014" spans="7:56" s="338" customFormat="1">
      <c r="G2014" s="340"/>
      <c r="L2014" s="340"/>
      <c r="P2014" s="340"/>
      <c r="U2014" s="340"/>
      <c r="V2014" s="340"/>
      <c r="Z2014" s="340"/>
      <c r="AE2014" s="340"/>
      <c r="AI2014" s="340"/>
      <c r="AN2014" s="340"/>
      <c r="AO2014" s="340"/>
      <c r="AS2014" s="340"/>
      <c r="AX2014" s="340"/>
      <c r="BB2014" s="340"/>
      <c r="BD2014" s="339"/>
    </row>
    <row r="2015" spans="7:56" s="338" customFormat="1">
      <c r="G2015" s="340"/>
      <c r="L2015" s="340"/>
      <c r="P2015" s="340"/>
      <c r="U2015" s="340"/>
      <c r="V2015" s="340"/>
      <c r="Z2015" s="340"/>
      <c r="AE2015" s="340"/>
      <c r="AI2015" s="340"/>
      <c r="AN2015" s="340"/>
      <c r="AO2015" s="340"/>
      <c r="AS2015" s="340"/>
      <c r="AX2015" s="340"/>
      <c r="BB2015" s="340"/>
      <c r="BD2015" s="339"/>
    </row>
    <row r="2016" spans="7:56" s="338" customFormat="1">
      <c r="G2016" s="340"/>
      <c r="L2016" s="340"/>
      <c r="P2016" s="340"/>
      <c r="U2016" s="340"/>
      <c r="V2016" s="340"/>
      <c r="Z2016" s="340"/>
      <c r="AE2016" s="340"/>
      <c r="AI2016" s="340"/>
      <c r="AN2016" s="340"/>
      <c r="AO2016" s="340"/>
      <c r="AS2016" s="340"/>
      <c r="AX2016" s="340"/>
      <c r="BB2016" s="340"/>
      <c r="BD2016" s="339"/>
    </row>
    <row r="2017" spans="7:56" s="338" customFormat="1">
      <c r="G2017" s="340"/>
      <c r="L2017" s="340"/>
      <c r="P2017" s="340"/>
      <c r="U2017" s="340"/>
      <c r="V2017" s="340"/>
      <c r="Z2017" s="340"/>
      <c r="AE2017" s="340"/>
      <c r="AI2017" s="340"/>
      <c r="AN2017" s="340"/>
      <c r="AO2017" s="340"/>
      <c r="AS2017" s="340"/>
      <c r="AX2017" s="340"/>
      <c r="BB2017" s="340"/>
      <c r="BD2017" s="339"/>
    </row>
    <row r="2018" spans="7:56" s="338" customFormat="1">
      <c r="G2018" s="340"/>
      <c r="L2018" s="340"/>
      <c r="P2018" s="340"/>
      <c r="U2018" s="340"/>
      <c r="V2018" s="340"/>
      <c r="Z2018" s="340"/>
      <c r="AE2018" s="340"/>
      <c r="AI2018" s="340"/>
      <c r="AN2018" s="340"/>
      <c r="AO2018" s="340"/>
      <c r="AS2018" s="340"/>
      <c r="AX2018" s="340"/>
      <c r="BB2018" s="340"/>
      <c r="BD2018" s="339"/>
    </row>
    <row r="2019" spans="7:56" s="338" customFormat="1">
      <c r="G2019" s="340"/>
      <c r="L2019" s="340"/>
      <c r="P2019" s="340"/>
      <c r="U2019" s="340"/>
      <c r="V2019" s="340"/>
      <c r="Z2019" s="340"/>
      <c r="AE2019" s="340"/>
      <c r="AI2019" s="340"/>
      <c r="AN2019" s="340"/>
      <c r="AO2019" s="340"/>
      <c r="AS2019" s="340"/>
      <c r="AX2019" s="340"/>
      <c r="BB2019" s="340"/>
      <c r="BD2019" s="339"/>
    </row>
    <row r="2020" spans="7:56" s="338" customFormat="1">
      <c r="G2020" s="340"/>
      <c r="L2020" s="340"/>
      <c r="P2020" s="340"/>
      <c r="U2020" s="340"/>
      <c r="V2020" s="340"/>
      <c r="Z2020" s="340"/>
      <c r="AE2020" s="340"/>
      <c r="AI2020" s="340"/>
      <c r="AN2020" s="340"/>
      <c r="AO2020" s="340"/>
      <c r="AS2020" s="340"/>
      <c r="AX2020" s="340"/>
      <c r="BB2020" s="340"/>
      <c r="BD2020" s="339"/>
    </row>
    <row r="2021" spans="7:56" s="338" customFormat="1">
      <c r="G2021" s="340"/>
      <c r="L2021" s="340"/>
      <c r="P2021" s="340"/>
      <c r="U2021" s="340"/>
      <c r="V2021" s="340"/>
      <c r="Z2021" s="340"/>
      <c r="AE2021" s="340"/>
      <c r="AI2021" s="340"/>
      <c r="AN2021" s="340"/>
      <c r="AO2021" s="340"/>
      <c r="AS2021" s="340"/>
      <c r="AX2021" s="340"/>
      <c r="BB2021" s="340"/>
      <c r="BD2021" s="339"/>
    </row>
    <row r="2022" spans="7:56" s="338" customFormat="1">
      <c r="G2022" s="340"/>
      <c r="L2022" s="340"/>
      <c r="P2022" s="340"/>
      <c r="U2022" s="340"/>
      <c r="V2022" s="340"/>
      <c r="Z2022" s="340"/>
      <c r="AE2022" s="340"/>
      <c r="AI2022" s="340"/>
      <c r="AN2022" s="340"/>
      <c r="AO2022" s="340"/>
      <c r="AS2022" s="340"/>
      <c r="AX2022" s="340"/>
      <c r="BB2022" s="340"/>
      <c r="BD2022" s="339"/>
    </row>
    <row r="2023" spans="7:56" s="338" customFormat="1">
      <c r="G2023" s="340"/>
      <c r="L2023" s="340"/>
      <c r="P2023" s="340"/>
      <c r="U2023" s="340"/>
      <c r="V2023" s="340"/>
      <c r="Z2023" s="340"/>
      <c r="AE2023" s="340"/>
      <c r="AI2023" s="340"/>
      <c r="AN2023" s="340"/>
      <c r="AO2023" s="340"/>
      <c r="AS2023" s="340"/>
      <c r="AX2023" s="340"/>
      <c r="BB2023" s="340"/>
      <c r="BD2023" s="339"/>
    </row>
    <row r="2024" spans="7:56" s="338" customFormat="1">
      <c r="G2024" s="340"/>
      <c r="L2024" s="340"/>
      <c r="P2024" s="340"/>
      <c r="U2024" s="340"/>
      <c r="V2024" s="340"/>
      <c r="Z2024" s="340"/>
      <c r="AE2024" s="340"/>
      <c r="AI2024" s="340"/>
      <c r="AN2024" s="340"/>
      <c r="AO2024" s="340"/>
      <c r="AS2024" s="340"/>
      <c r="AX2024" s="340"/>
      <c r="BB2024" s="340"/>
      <c r="BD2024" s="339"/>
    </row>
    <row r="2025" spans="7:56" s="338" customFormat="1">
      <c r="G2025" s="340"/>
      <c r="L2025" s="340"/>
      <c r="P2025" s="340"/>
      <c r="U2025" s="340"/>
      <c r="V2025" s="340"/>
      <c r="Z2025" s="340"/>
      <c r="AE2025" s="340"/>
      <c r="AI2025" s="340"/>
      <c r="AN2025" s="340"/>
      <c r="AO2025" s="340"/>
      <c r="AS2025" s="340"/>
      <c r="AX2025" s="340"/>
      <c r="BB2025" s="340"/>
      <c r="BD2025" s="339"/>
    </row>
    <row r="2026" spans="7:56" s="338" customFormat="1">
      <c r="G2026" s="340"/>
      <c r="L2026" s="340"/>
      <c r="P2026" s="340"/>
      <c r="U2026" s="340"/>
      <c r="V2026" s="340"/>
      <c r="Z2026" s="340"/>
      <c r="AE2026" s="340"/>
      <c r="AI2026" s="340"/>
      <c r="AN2026" s="340"/>
      <c r="AO2026" s="340"/>
      <c r="AS2026" s="340"/>
      <c r="AX2026" s="340"/>
      <c r="BB2026" s="340"/>
      <c r="BD2026" s="339"/>
    </row>
    <row r="2027" spans="7:56" s="338" customFormat="1">
      <c r="G2027" s="340"/>
      <c r="L2027" s="340"/>
      <c r="P2027" s="340"/>
      <c r="U2027" s="340"/>
      <c r="V2027" s="340"/>
      <c r="Z2027" s="340"/>
      <c r="AE2027" s="340"/>
      <c r="AI2027" s="340"/>
      <c r="AN2027" s="340"/>
      <c r="AO2027" s="340"/>
      <c r="AS2027" s="340"/>
      <c r="AX2027" s="340"/>
      <c r="BB2027" s="340"/>
      <c r="BD2027" s="339"/>
    </row>
    <row r="2028" spans="7:56" s="338" customFormat="1">
      <c r="G2028" s="340"/>
      <c r="L2028" s="340"/>
      <c r="P2028" s="340"/>
      <c r="U2028" s="340"/>
      <c r="V2028" s="340"/>
      <c r="Z2028" s="340"/>
      <c r="AE2028" s="340"/>
      <c r="AI2028" s="340"/>
      <c r="AN2028" s="340"/>
      <c r="AO2028" s="340"/>
      <c r="AS2028" s="340"/>
      <c r="AX2028" s="340"/>
      <c r="BB2028" s="340"/>
      <c r="BD2028" s="339"/>
    </row>
    <row r="2029" spans="7:56" s="338" customFormat="1">
      <c r="G2029" s="340"/>
      <c r="L2029" s="340"/>
      <c r="P2029" s="340"/>
      <c r="U2029" s="340"/>
      <c r="V2029" s="340"/>
      <c r="Z2029" s="340"/>
      <c r="AE2029" s="340"/>
      <c r="AI2029" s="340"/>
      <c r="AN2029" s="340"/>
      <c r="AO2029" s="340"/>
      <c r="AS2029" s="340"/>
      <c r="AX2029" s="340"/>
      <c r="BB2029" s="340"/>
      <c r="BD2029" s="339"/>
    </row>
    <row r="2030" spans="7:56" s="338" customFormat="1">
      <c r="G2030" s="340"/>
      <c r="L2030" s="340"/>
      <c r="P2030" s="340"/>
      <c r="U2030" s="340"/>
      <c r="V2030" s="340"/>
      <c r="Z2030" s="340"/>
      <c r="AE2030" s="340"/>
      <c r="AI2030" s="340"/>
      <c r="AN2030" s="340"/>
      <c r="AO2030" s="340"/>
      <c r="AS2030" s="340"/>
      <c r="AX2030" s="340"/>
      <c r="BB2030" s="340"/>
      <c r="BD2030" s="339"/>
    </row>
    <row r="2031" spans="7:56" s="338" customFormat="1">
      <c r="G2031" s="340"/>
      <c r="L2031" s="340"/>
      <c r="P2031" s="340"/>
      <c r="U2031" s="340"/>
      <c r="V2031" s="340"/>
      <c r="Z2031" s="340"/>
      <c r="AE2031" s="340"/>
      <c r="AI2031" s="340"/>
      <c r="AN2031" s="340"/>
      <c r="AO2031" s="340"/>
      <c r="AS2031" s="340"/>
      <c r="AX2031" s="340"/>
      <c r="BB2031" s="340"/>
      <c r="BD2031" s="339"/>
    </row>
    <row r="2032" spans="7:56" s="338" customFormat="1">
      <c r="G2032" s="340"/>
      <c r="L2032" s="340"/>
      <c r="P2032" s="340"/>
      <c r="U2032" s="340"/>
      <c r="V2032" s="340"/>
      <c r="Z2032" s="340"/>
      <c r="AE2032" s="340"/>
      <c r="AI2032" s="340"/>
      <c r="AN2032" s="340"/>
      <c r="AO2032" s="340"/>
      <c r="AS2032" s="340"/>
      <c r="AX2032" s="340"/>
      <c r="BB2032" s="340"/>
      <c r="BD2032" s="339"/>
    </row>
    <row r="2033" spans="7:56" s="338" customFormat="1">
      <c r="G2033" s="340"/>
      <c r="L2033" s="340"/>
      <c r="P2033" s="340"/>
      <c r="U2033" s="340"/>
      <c r="V2033" s="340"/>
      <c r="Z2033" s="340"/>
      <c r="AE2033" s="340"/>
      <c r="AI2033" s="340"/>
      <c r="AN2033" s="340"/>
      <c r="AO2033" s="340"/>
      <c r="AS2033" s="340"/>
      <c r="AX2033" s="340"/>
      <c r="BB2033" s="340"/>
      <c r="BD2033" s="339"/>
    </row>
    <row r="2034" spans="7:56" s="338" customFormat="1">
      <c r="G2034" s="340"/>
      <c r="L2034" s="340"/>
      <c r="P2034" s="340"/>
      <c r="U2034" s="340"/>
      <c r="V2034" s="340"/>
      <c r="Z2034" s="340"/>
      <c r="AE2034" s="340"/>
      <c r="AI2034" s="340"/>
      <c r="AN2034" s="340"/>
      <c r="AO2034" s="340"/>
      <c r="AS2034" s="340"/>
      <c r="AX2034" s="340"/>
      <c r="BB2034" s="340"/>
      <c r="BD2034" s="339"/>
    </row>
    <row r="2035" spans="7:56" s="338" customFormat="1">
      <c r="G2035" s="340"/>
      <c r="L2035" s="340"/>
      <c r="P2035" s="340"/>
      <c r="U2035" s="340"/>
      <c r="V2035" s="340"/>
      <c r="Z2035" s="340"/>
      <c r="AE2035" s="340"/>
      <c r="AI2035" s="340"/>
      <c r="AN2035" s="340"/>
      <c r="AO2035" s="340"/>
      <c r="AS2035" s="340"/>
      <c r="AX2035" s="340"/>
      <c r="BB2035" s="340"/>
      <c r="BD2035" s="339"/>
    </row>
    <row r="2036" spans="7:56" s="338" customFormat="1">
      <c r="G2036" s="340"/>
      <c r="L2036" s="340"/>
      <c r="P2036" s="340"/>
      <c r="U2036" s="340"/>
      <c r="V2036" s="340"/>
      <c r="Z2036" s="340"/>
      <c r="AE2036" s="340"/>
      <c r="AI2036" s="340"/>
      <c r="AN2036" s="340"/>
      <c r="AO2036" s="340"/>
      <c r="AS2036" s="340"/>
      <c r="AX2036" s="340"/>
      <c r="BB2036" s="340"/>
      <c r="BD2036" s="339"/>
    </row>
    <row r="2037" spans="7:56" s="338" customFormat="1">
      <c r="G2037" s="340"/>
      <c r="L2037" s="340"/>
      <c r="P2037" s="340"/>
      <c r="U2037" s="340"/>
      <c r="V2037" s="340"/>
      <c r="Z2037" s="340"/>
      <c r="AE2037" s="340"/>
      <c r="AI2037" s="340"/>
      <c r="AN2037" s="340"/>
      <c r="AO2037" s="340"/>
      <c r="AS2037" s="340"/>
      <c r="AX2037" s="340"/>
      <c r="BB2037" s="340"/>
      <c r="BD2037" s="339"/>
    </row>
    <row r="2038" spans="7:56" s="338" customFormat="1">
      <c r="G2038" s="340"/>
      <c r="L2038" s="340"/>
      <c r="P2038" s="340"/>
      <c r="U2038" s="340"/>
      <c r="V2038" s="340"/>
      <c r="Z2038" s="340"/>
      <c r="AE2038" s="340"/>
      <c r="AI2038" s="340"/>
      <c r="AN2038" s="340"/>
      <c r="AO2038" s="340"/>
      <c r="AS2038" s="340"/>
      <c r="AX2038" s="340"/>
      <c r="BB2038" s="340"/>
      <c r="BD2038" s="339"/>
    </row>
    <row r="2039" spans="7:56" s="338" customFormat="1">
      <c r="G2039" s="340"/>
      <c r="L2039" s="340"/>
      <c r="P2039" s="340"/>
      <c r="U2039" s="340"/>
      <c r="V2039" s="340"/>
      <c r="Z2039" s="340"/>
      <c r="AE2039" s="340"/>
      <c r="AI2039" s="340"/>
      <c r="AN2039" s="340"/>
      <c r="AO2039" s="340"/>
      <c r="AS2039" s="340"/>
      <c r="AX2039" s="340"/>
      <c r="BB2039" s="340"/>
      <c r="BD2039" s="339"/>
    </row>
    <row r="2040" spans="7:56" s="338" customFormat="1">
      <c r="G2040" s="340"/>
      <c r="L2040" s="340"/>
      <c r="P2040" s="340"/>
      <c r="U2040" s="340"/>
      <c r="V2040" s="340"/>
      <c r="Z2040" s="340"/>
      <c r="AE2040" s="340"/>
      <c r="AI2040" s="340"/>
      <c r="AN2040" s="340"/>
      <c r="AO2040" s="340"/>
      <c r="AS2040" s="340"/>
      <c r="AX2040" s="340"/>
      <c r="BB2040" s="340"/>
      <c r="BD2040" s="339"/>
    </row>
    <row r="2041" spans="7:56" s="338" customFormat="1">
      <c r="G2041" s="340"/>
      <c r="L2041" s="340"/>
      <c r="P2041" s="340"/>
      <c r="U2041" s="340"/>
      <c r="V2041" s="340"/>
      <c r="Z2041" s="340"/>
      <c r="AE2041" s="340"/>
      <c r="AI2041" s="340"/>
      <c r="AN2041" s="340"/>
      <c r="AO2041" s="340"/>
      <c r="AS2041" s="340"/>
      <c r="AX2041" s="340"/>
      <c r="BB2041" s="340"/>
      <c r="BD2041" s="339"/>
    </row>
    <row r="2042" spans="7:56" s="338" customFormat="1">
      <c r="G2042" s="340"/>
      <c r="L2042" s="340"/>
      <c r="P2042" s="340"/>
      <c r="U2042" s="340"/>
      <c r="V2042" s="340"/>
      <c r="Z2042" s="340"/>
      <c r="AE2042" s="340"/>
      <c r="AI2042" s="340"/>
      <c r="AN2042" s="340"/>
      <c r="AO2042" s="340"/>
      <c r="AS2042" s="340"/>
      <c r="AX2042" s="340"/>
      <c r="BB2042" s="340"/>
      <c r="BD2042" s="339"/>
    </row>
    <row r="2043" spans="7:56" s="338" customFormat="1">
      <c r="G2043" s="340"/>
      <c r="L2043" s="340"/>
      <c r="P2043" s="340"/>
      <c r="U2043" s="340"/>
      <c r="V2043" s="340"/>
      <c r="Z2043" s="340"/>
      <c r="AE2043" s="340"/>
      <c r="AI2043" s="340"/>
      <c r="AN2043" s="340"/>
      <c r="AO2043" s="340"/>
      <c r="AS2043" s="340"/>
      <c r="AX2043" s="340"/>
      <c r="BB2043" s="340"/>
      <c r="BD2043" s="339"/>
    </row>
    <row r="2044" spans="7:56" s="338" customFormat="1">
      <c r="G2044" s="340"/>
      <c r="L2044" s="340"/>
      <c r="P2044" s="340"/>
      <c r="U2044" s="340"/>
      <c r="V2044" s="340"/>
      <c r="Z2044" s="340"/>
      <c r="AE2044" s="340"/>
      <c r="AI2044" s="340"/>
      <c r="AN2044" s="340"/>
      <c r="AO2044" s="340"/>
      <c r="AS2044" s="340"/>
      <c r="AX2044" s="340"/>
      <c r="BB2044" s="340"/>
      <c r="BD2044" s="339"/>
    </row>
    <row r="2045" spans="7:56" s="338" customFormat="1">
      <c r="G2045" s="340"/>
      <c r="L2045" s="340"/>
      <c r="P2045" s="340"/>
      <c r="U2045" s="340"/>
      <c r="V2045" s="340"/>
      <c r="Z2045" s="340"/>
      <c r="AE2045" s="340"/>
      <c r="AI2045" s="340"/>
      <c r="AN2045" s="340"/>
      <c r="AO2045" s="340"/>
      <c r="AS2045" s="340"/>
      <c r="AX2045" s="340"/>
      <c r="BB2045" s="340"/>
      <c r="BD2045" s="339"/>
    </row>
    <row r="2046" spans="7:56" s="338" customFormat="1">
      <c r="G2046" s="340"/>
      <c r="L2046" s="340"/>
      <c r="P2046" s="340"/>
      <c r="U2046" s="340"/>
      <c r="V2046" s="340"/>
      <c r="Z2046" s="340"/>
      <c r="AE2046" s="340"/>
      <c r="AI2046" s="340"/>
      <c r="AN2046" s="340"/>
      <c r="AO2046" s="340"/>
      <c r="AS2046" s="340"/>
      <c r="AX2046" s="340"/>
      <c r="BB2046" s="340"/>
      <c r="BD2046" s="339"/>
    </row>
    <row r="2047" spans="7:56" s="338" customFormat="1">
      <c r="G2047" s="340"/>
      <c r="L2047" s="340"/>
      <c r="P2047" s="340"/>
      <c r="U2047" s="340"/>
      <c r="V2047" s="340"/>
      <c r="Z2047" s="340"/>
      <c r="AE2047" s="340"/>
      <c r="AI2047" s="340"/>
      <c r="AN2047" s="340"/>
      <c r="AO2047" s="340"/>
      <c r="AS2047" s="340"/>
      <c r="AX2047" s="340"/>
      <c r="BB2047" s="340"/>
      <c r="BD2047" s="339"/>
    </row>
    <row r="2048" spans="7:56" s="338" customFormat="1">
      <c r="G2048" s="340"/>
      <c r="L2048" s="340"/>
      <c r="P2048" s="340"/>
      <c r="U2048" s="340"/>
      <c r="V2048" s="340"/>
      <c r="Z2048" s="340"/>
      <c r="AE2048" s="340"/>
      <c r="AI2048" s="340"/>
      <c r="AN2048" s="340"/>
      <c r="AO2048" s="340"/>
      <c r="AS2048" s="340"/>
      <c r="AX2048" s="340"/>
      <c r="BB2048" s="340"/>
      <c r="BD2048" s="339"/>
    </row>
    <row r="2049" spans="7:56" s="338" customFormat="1">
      <c r="G2049" s="340"/>
      <c r="L2049" s="340"/>
      <c r="P2049" s="340"/>
      <c r="U2049" s="340"/>
      <c r="V2049" s="340"/>
      <c r="Z2049" s="340"/>
      <c r="AE2049" s="340"/>
      <c r="AI2049" s="340"/>
      <c r="AN2049" s="340"/>
      <c r="AO2049" s="340"/>
      <c r="AS2049" s="340"/>
      <c r="AX2049" s="340"/>
      <c r="BB2049" s="340"/>
      <c r="BD2049" s="339"/>
    </row>
    <row r="2050" spans="7:56" s="338" customFormat="1">
      <c r="G2050" s="340"/>
      <c r="L2050" s="340"/>
      <c r="P2050" s="340"/>
      <c r="U2050" s="340"/>
      <c r="V2050" s="340"/>
      <c r="Z2050" s="340"/>
      <c r="AE2050" s="340"/>
      <c r="AI2050" s="340"/>
      <c r="AN2050" s="340"/>
      <c r="AO2050" s="340"/>
      <c r="AS2050" s="340"/>
      <c r="AX2050" s="340"/>
      <c r="BB2050" s="340"/>
      <c r="BD2050" s="339"/>
    </row>
    <row r="2051" spans="7:56" s="338" customFormat="1">
      <c r="G2051" s="340"/>
      <c r="L2051" s="340"/>
      <c r="P2051" s="340"/>
      <c r="U2051" s="340"/>
      <c r="V2051" s="340"/>
      <c r="Z2051" s="340"/>
      <c r="AE2051" s="340"/>
      <c r="AI2051" s="340"/>
      <c r="AN2051" s="340"/>
      <c r="AO2051" s="340"/>
      <c r="AS2051" s="340"/>
      <c r="AX2051" s="340"/>
      <c r="BB2051" s="340"/>
      <c r="BD2051" s="339"/>
    </row>
    <row r="2052" spans="7:56" s="338" customFormat="1">
      <c r="G2052" s="340"/>
      <c r="L2052" s="340"/>
      <c r="P2052" s="340"/>
      <c r="U2052" s="340"/>
      <c r="V2052" s="340"/>
      <c r="Z2052" s="340"/>
      <c r="AE2052" s="340"/>
      <c r="AI2052" s="340"/>
      <c r="AN2052" s="340"/>
      <c r="AO2052" s="340"/>
      <c r="AS2052" s="340"/>
      <c r="AX2052" s="340"/>
      <c r="BB2052" s="340"/>
      <c r="BD2052" s="339"/>
    </row>
    <row r="2053" spans="7:56" s="338" customFormat="1">
      <c r="G2053" s="340"/>
      <c r="L2053" s="340"/>
      <c r="P2053" s="340"/>
      <c r="U2053" s="340"/>
      <c r="V2053" s="340"/>
      <c r="Z2053" s="340"/>
      <c r="AE2053" s="340"/>
      <c r="AI2053" s="340"/>
      <c r="AN2053" s="340"/>
      <c r="AO2053" s="340"/>
      <c r="AS2053" s="340"/>
      <c r="AX2053" s="340"/>
      <c r="BB2053" s="340"/>
      <c r="BD2053" s="339"/>
    </row>
    <row r="2054" spans="7:56" s="338" customFormat="1">
      <c r="G2054" s="340"/>
      <c r="L2054" s="340"/>
      <c r="P2054" s="340"/>
      <c r="U2054" s="340"/>
      <c r="V2054" s="340"/>
      <c r="Z2054" s="340"/>
      <c r="AE2054" s="340"/>
      <c r="AI2054" s="340"/>
      <c r="AN2054" s="340"/>
      <c r="AO2054" s="340"/>
      <c r="AS2054" s="340"/>
      <c r="AX2054" s="340"/>
      <c r="BB2054" s="340"/>
      <c r="BD2054" s="339"/>
    </row>
    <row r="2055" spans="7:56" s="338" customFormat="1">
      <c r="G2055" s="340"/>
      <c r="L2055" s="340"/>
      <c r="P2055" s="340"/>
      <c r="U2055" s="340"/>
      <c r="V2055" s="340"/>
      <c r="Z2055" s="340"/>
      <c r="AE2055" s="340"/>
      <c r="AI2055" s="340"/>
      <c r="AN2055" s="340"/>
      <c r="AO2055" s="340"/>
      <c r="AS2055" s="340"/>
      <c r="AX2055" s="340"/>
      <c r="BB2055" s="340"/>
      <c r="BD2055" s="339"/>
    </row>
    <row r="2056" spans="7:56" s="338" customFormat="1">
      <c r="G2056" s="340"/>
      <c r="L2056" s="340"/>
      <c r="P2056" s="340"/>
      <c r="U2056" s="340"/>
      <c r="V2056" s="340"/>
      <c r="Z2056" s="340"/>
      <c r="AE2056" s="340"/>
      <c r="AI2056" s="340"/>
      <c r="AN2056" s="340"/>
      <c r="AO2056" s="340"/>
      <c r="AS2056" s="340"/>
      <c r="AX2056" s="340"/>
      <c r="BB2056" s="340"/>
      <c r="BD2056" s="339"/>
    </row>
    <row r="2057" spans="7:56" s="338" customFormat="1">
      <c r="G2057" s="340"/>
      <c r="L2057" s="340"/>
      <c r="P2057" s="340"/>
      <c r="U2057" s="340"/>
      <c r="V2057" s="340"/>
      <c r="Z2057" s="340"/>
      <c r="AE2057" s="340"/>
      <c r="AI2057" s="340"/>
      <c r="AN2057" s="340"/>
      <c r="AO2057" s="340"/>
      <c r="AS2057" s="340"/>
      <c r="AX2057" s="340"/>
      <c r="BB2057" s="340"/>
      <c r="BD2057" s="339"/>
    </row>
    <row r="2058" spans="7:56" s="338" customFormat="1">
      <c r="G2058" s="340"/>
      <c r="L2058" s="340"/>
      <c r="P2058" s="340"/>
      <c r="U2058" s="340"/>
      <c r="V2058" s="340"/>
      <c r="Z2058" s="340"/>
      <c r="AE2058" s="340"/>
      <c r="AI2058" s="340"/>
      <c r="AN2058" s="340"/>
      <c r="AO2058" s="340"/>
      <c r="AS2058" s="340"/>
      <c r="AX2058" s="340"/>
      <c r="BB2058" s="340"/>
      <c r="BD2058" s="339"/>
    </row>
    <row r="2059" spans="7:56" s="338" customFormat="1">
      <c r="G2059" s="340"/>
      <c r="L2059" s="340"/>
      <c r="P2059" s="340"/>
      <c r="U2059" s="340"/>
      <c r="V2059" s="340"/>
      <c r="Z2059" s="340"/>
      <c r="AE2059" s="340"/>
      <c r="AI2059" s="340"/>
      <c r="AN2059" s="340"/>
      <c r="AO2059" s="340"/>
      <c r="AS2059" s="340"/>
      <c r="AX2059" s="340"/>
      <c r="BB2059" s="340"/>
      <c r="BD2059" s="339"/>
    </row>
    <row r="2060" spans="7:56" s="338" customFormat="1">
      <c r="G2060" s="340"/>
      <c r="L2060" s="340"/>
      <c r="P2060" s="340"/>
      <c r="U2060" s="340"/>
      <c r="V2060" s="340"/>
      <c r="Z2060" s="340"/>
      <c r="AE2060" s="340"/>
      <c r="AI2060" s="340"/>
      <c r="AN2060" s="340"/>
      <c r="AO2060" s="340"/>
      <c r="AS2060" s="340"/>
      <c r="AX2060" s="340"/>
      <c r="BB2060" s="340"/>
      <c r="BD2060" s="339"/>
    </row>
    <row r="2061" spans="7:56" s="338" customFormat="1">
      <c r="G2061" s="340"/>
      <c r="L2061" s="340"/>
      <c r="P2061" s="340"/>
      <c r="U2061" s="340"/>
      <c r="V2061" s="340"/>
      <c r="Z2061" s="340"/>
      <c r="AE2061" s="340"/>
      <c r="AI2061" s="340"/>
      <c r="AN2061" s="340"/>
      <c r="AO2061" s="340"/>
      <c r="AS2061" s="340"/>
      <c r="AX2061" s="340"/>
      <c r="BB2061" s="340"/>
      <c r="BD2061" s="339"/>
    </row>
    <row r="2062" spans="7:56" s="338" customFormat="1">
      <c r="G2062" s="340"/>
      <c r="L2062" s="340"/>
      <c r="P2062" s="340"/>
      <c r="U2062" s="340"/>
      <c r="V2062" s="340"/>
      <c r="Z2062" s="340"/>
      <c r="AE2062" s="340"/>
      <c r="AI2062" s="340"/>
      <c r="AN2062" s="340"/>
      <c r="AO2062" s="340"/>
      <c r="AS2062" s="340"/>
      <c r="AX2062" s="340"/>
      <c r="BB2062" s="340"/>
      <c r="BD2062" s="339"/>
    </row>
    <row r="2063" spans="7:56" s="338" customFormat="1">
      <c r="G2063" s="340"/>
      <c r="L2063" s="340"/>
      <c r="P2063" s="340"/>
      <c r="U2063" s="340"/>
      <c r="V2063" s="340"/>
      <c r="Z2063" s="340"/>
      <c r="AE2063" s="340"/>
      <c r="AI2063" s="340"/>
      <c r="AN2063" s="340"/>
      <c r="AO2063" s="340"/>
      <c r="AS2063" s="340"/>
      <c r="AX2063" s="340"/>
      <c r="BB2063" s="340"/>
      <c r="BD2063" s="339"/>
    </row>
    <row r="2064" spans="7:56" s="338" customFormat="1">
      <c r="G2064" s="340"/>
      <c r="L2064" s="340"/>
      <c r="P2064" s="340"/>
      <c r="U2064" s="340"/>
      <c r="V2064" s="340"/>
      <c r="Z2064" s="340"/>
      <c r="AE2064" s="340"/>
      <c r="AI2064" s="340"/>
      <c r="AN2064" s="340"/>
      <c r="AO2064" s="340"/>
      <c r="AS2064" s="340"/>
      <c r="AX2064" s="340"/>
      <c r="BB2064" s="340"/>
      <c r="BD2064" s="339"/>
    </row>
    <row r="2065" spans="7:56" s="338" customFormat="1">
      <c r="G2065" s="340"/>
      <c r="L2065" s="340"/>
      <c r="P2065" s="340"/>
      <c r="U2065" s="340"/>
      <c r="V2065" s="340"/>
      <c r="Z2065" s="340"/>
      <c r="AE2065" s="340"/>
      <c r="AI2065" s="340"/>
      <c r="AN2065" s="340"/>
      <c r="AO2065" s="340"/>
      <c r="AS2065" s="340"/>
      <c r="AX2065" s="340"/>
      <c r="BB2065" s="340"/>
      <c r="BD2065" s="339"/>
    </row>
    <row r="2066" spans="7:56" s="338" customFormat="1">
      <c r="G2066" s="340"/>
      <c r="L2066" s="340"/>
      <c r="P2066" s="340"/>
      <c r="U2066" s="340"/>
      <c r="V2066" s="340"/>
      <c r="Z2066" s="340"/>
      <c r="AE2066" s="340"/>
      <c r="AI2066" s="340"/>
      <c r="AN2066" s="340"/>
      <c r="AO2066" s="340"/>
      <c r="AS2066" s="340"/>
      <c r="AX2066" s="340"/>
      <c r="BB2066" s="340"/>
      <c r="BD2066" s="339"/>
    </row>
    <row r="2067" spans="7:56" s="338" customFormat="1">
      <c r="G2067" s="340"/>
      <c r="L2067" s="340"/>
      <c r="P2067" s="340"/>
      <c r="U2067" s="340"/>
      <c r="V2067" s="340"/>
      <c r="Z2067" s="340"/>
      <c r="AE2067" s="340"/>
      <c r="AI2067" s="340"/>
      <c r="AN2067" s="340"/>
      <c r="AO2067" s="340"/>
      <c r="AS2067" s="340"/>
      <c r="AX2067" s="340"/>
      <c r="BB2067" s="340"/>
      <c r="BD2067" s="339"/>
    </row>
    <row r="2068" spans="7:56" s="338" customFormat="1">
      <c r="G2068" s="340"/>
      <c r="L2068" s="340"/>
      <c r="P2068" s="340"/>
      <c r="U2068" s="340"/>
      <c r="V2068" s="340"/>
      <c r="Z2068" s="340"/>
      <c r="AE2068" s="340"/>
      <c r="AI2068" s="340"/>
      <c r="AN2068" s="340"/>
      <c r="AO2068" s="340"/>
      <c r="AS2068" s="340"/>
      <c r="AX2068" s="340"/>
      <c r="BB2068" s="340"/>
      <c r="BD2068" s="339"/>
    </row>
    <row r="2069" spans="7:56" s="338" customFormat="1">
      <c r="G2069" s="340"/>
      <c r="L2069" s="340"/>
      <c r="P2069" s="340"/>
      <c r="U2069" s="340"/>
      <c r="V2069" s="340"/>
      <c r="Z2069" s="340"/>
      <c r="AE2069" s="340"/>
      <c r="AI2069" s="340"/>
      <c r="AN2069" s="340"/>
      <c r="AO2069" s="340"/>
      <c r="AS2069" s="340"/>
      <c r="AX2069" s="340"/>
      <c r="BB2069" s="340"/>
      <c r="BD2069" s="339"/>
    </row>
    <row r="2070" spans="7:56" s="338" customFormat="1">
      <c r="G2070" s="340"/>
      <c r="L2070" s="340"/>
      <c r="P2070" s="340"/>
      <c r="U2070" s="340"/>
      <c r="V2070" s="340"/>
      <c r="Z2070" s="340"/>
      <c r="AE2070" s="340"/>
      <c r="AI2070" s="340"/>
      <c r="AN2070" s="340"/>
      <c r="AO2070" s="340"/>
      <c r="AS2070" s="340"/>
      <c r="AX2070" s="340"/>
      <c r="BB2070" s="340"/>
      <c r="BD2070" s="339"/>
    </row>
    <row r="2071" spans="7:56" s="338" customFormat="1">
      <c r="G2071" s="340"/>
      <c r="L2071" s="340"/>
      <c r="P2071" s="340"/>
      <c r="U2071" s="340"/>
      <c r="V2071" s="340"/>
      <c r="Z2071" s="340"/>
      <c r="AE2071" s="340"/>
      <c r="AI2071" s="340"/>
      <c r="AN2071" s="340"/>
      <c r="AO2071" s="340"/>
      <c r="AS2071" s="340"/>
      <c r="AX2071" s="340"/>
      <c r="BB2071" s="340"/>
      <c r="BD2071" s="339"/>
    </row>
    <row r="2072" spans="7:56" s="338" customFormat="1">
      <c r="G2072" s="340"/>
      <c r="L2072" s="340"/>
      <c r="P2072" s="340"/>
      <c r="U2072" s="340"/>
      <c r="V2072" s="340"/>
      <c r="Z2072" s="340"/>
      <c r="AE2072" s="340"/>
      <c r="AI2072" s="340"/>
      <c r="AN2072" s="340"/>
      <c r="AO2072" s="340"/>
      <c r="AS2072" s="340"/>
      <c r="AX2072" s="340"/>
      <c r="BB2072" s="340"/>
      <c r="BD2072" s="339"/>
    </row>
    <row r="2073" spans="7:56" s="338" customFormat="1">
      <c r="G2073" s="340"/>
      <c r="L2073" s="340"/>
      <c r="P2073" s="340"/>
      <c r="U2073" s="340"/>
      <c r="V2073" s="340"/>
      <c r="Z2073" s="340"/>
      <c r="AE2073" s="340"/>
      <c r="AI2073" s="340"/>
      <c r="AN2073" s="340"/>
      <c r="AO2073" s="340"/>
      <c r="AS2073" s="340"/>
      <c r="AX2073" s="340"/>
      <c r="BB2073" s="340"/>
      <c r="BD2073" s="339"/>
    </row>
    <row r="2074" spans="7:56" s="338" customFormat="1">
      <c r="G2074" s="340"/>
      <c r="L2074" s="340"/>
      <c r="P2074" s="340"/>
      <c r="U2074" s="340"/>
      <c r="V2074" s="340"/>
      <c r="Z2074" s="340"/>
      <c r="AE2074" s="340"/>
      <c r="AI2074" s="340"/>
      <c r="AN2074" s="340"/>
      <c r="AO2074" s="340"/>
      <c r="AS2074" s="340"/>
      <c r="AX2074" s="340"/>
      <c r="BB2074" s="340"/>
      <c r="BD2074" s="339"/>
    </row>
    <row r="2075" spans="7:56" s="338" customFormat="1">
      <c r="G2075" s="340"/>
      <c r="L2075" s="340"/>
      <c r="P2075" s="340"/>
      <c r="U2075" s="340"/>
      <c r="V2075" s="340"/>
      <c r="Z2075" s="340"/>
      <c r="AE2075" s="340"/>
      <c r="AI2075" s="340"/>
      <c r="AN2075" s="340"/>
      <c r="AO2075" s="340"/>
      <c r="AS2075" s="340"/>
      <c r="AX2075" s="340"/>
      <c r="BB2075" s="340"/>
      <c r="BD2075" s="339"/>
    </row>
    <row r="2076" spans="7:56" s="338" customFormat="1">
      <c r="G2076" s="340"/>
      <c r="L2076" s="340"/>
      <c r="P2076" s="340"/>
      <c r="U2076" s="340"/>
      <c r="V2076" s="340"/>
      <c r="Z2076" s="340"/>
      <c r="AE2076" s="340"/>
      <c r="AI2076" s="340"/>
      <c r="AN2076" s="340"/>
      <c r="AO2076" s="340"/>
      <c r="AS2076" s="340"/>
      <c r="AX2076" s="340"/>
      <c r="BB2076" s="340"/>
      <c r="BD2076" s="339"/>
    </row>
    <row r="2077" spans="7:56" s="338" customFormat="1">
      <c r="G2077" s="340"/>
      <c r="L2077" s="340"/>
      <c r="P2077" s="340"/>
      <c r="U2077" s="340"/>
      <c r="V2077" s="340"/>
      <c r="Z2077" s="340"/>
      <c r="AE2077" s="340"/>
      <c r="AI2077" s="340"/>
      <c r="AN2077" s="340"/>
      <c r="AO2077" s="340"/>
      <c r="AS2077" s="340"/>
      <c r="AX2077" s="340"/>
      <c r="BB2077" s="340"/>
      <c r="BD2077" s="339"/>
    </row>
    <row r="2078" spans="7:56" s="338" customFormat="1">
      <c r="G2078" s="340"/>
      <c r="L2078" s="340"/>
      <c r="P2078" s="340"/>
      <c r="U2078" s="340"/>
      <c r="V2078" s="340"/>
      <c r="Z2078" s="340"/>
      <c r="AE2078" s="340"/>
      <c r="AI2078" s="340"/>
      <c r="AN2078" s="340"/>
      <c r="AO2078" s="340"/>
      <c r="AS2078" s="340"/>
      <c r="AX2078" s="340"/>
      <c r="BB2078" s="340"/>
      <c r="BD2078" s="339"/>
    </row>
    <row r="2079" spans="7:56" s="338" customFormat="1">
      <c r="G2079" s="340"/>
      <c r="L2079" s="340"/>
      <c r="P2079" s="340"/>
      <c r="U2079" s="340"/>
      <c r="V2079" s="340"/>
      <c r="Z2079" s="340"/>
      <c r="AE2079" s="340"/>
      <c r="AI2079" s="340"/>
      <c r="AN2079" s="340"/>
      <c r="AO2079" s="340"/>
      <c r="AS2079" s="340"/>
      <c r="AX2079" s="340"/>
      <c r="BB2079" s="340"/>
      <c r="BD2079" s="339"/>
    </row>
    <row r="2080" spans="7:56" s="338" customFormat="1">
      <c r="G2080" s="340"/>
      <c r="L2080" s="340"/>
      <c r="P2080" s="340"/>
      <c r="U2080" s="340"/>
      <c r="V2080" s="340"/>
      <c r="Z2080" s="340"/>
      <c r="AE2080" s="340"/>
      <c r="AI2080" s="340"/>
      <c r="AN2080" s="340"/>
      <c r="AO2080" s="340"/>
      <c r="AS2080" s="340"/>
      <c r="AX2080" s="340"/>
      <c r="BB2080" s="340"/>
      <c r="BD2080" s="339"/>
    </row>
    <row r="2081" spans="7:56" s="338" customFormat="1">
      <c r="G2081" s="340"/>
      <c r="L2081" s="340"/>
      <c r="P2081" s="340"/>
      <c r="U2081" s="340"/>
      <c r="V2081" s="340"/>
      <c r="Z2081" s="340"/>
      <c r="AE2081" s="340"/>
      <c r="AI2081" s="340"/>
      <c r="AN2081" s="340"/>
      <c r="AO2081" s="340"/>
      <c r="AS2081" s="340"/>
      <c r="AX2081" s="340"/>
      <c r="BB2081" s="340"/>
      <c r="BD2081" s="339"/>
    </row>
    <row r="2082" spans="7:56" s="338" customFormat="1">
      <c r="G2082" s="340"/>
      <c r="L2082" s="340"/>
      <c r="P2082" s="340"/>
      <c r="U2082" s="340"/>
      <c r="V2082" s="340"/>
      <c r="Z2082" s="340"/>
      <c r="AE2082" s="340"/>
      <c r="AI2082" s="340"/>
      <c r="AN2082" s="340"/>
      <c r="AO2082" s="340"/>
      <c r="AS2082" s="340"/>
      <c r="AX2082" s="340"/>
      <c r="BB2082" s="340"/>
      <c r="BD2082" s="339"/>
    </row>
    <row r="2083" spans="7:56" s="338" customFormat="1">
      <c r="G2083" s="340"/>
      <c r="L2083" s="340"/>
      <c r="P2083" s="340"/>
      <c r="U2083" s="340"/>
      <c r="V2083" s="340"/>
      <c r="Z2083" s="340"/>
      <c r="AE2083" s="340"/>
      <c r="AI2083" s="340"/>
      <c r="AN2083" s="340"/>
      <c r="AO2083" s="340"/>
      <c r="AS2083" s="340"/>
      <c r="AX2083" s="340"/>
      <c r="BB2083" s="340"/>
      <c r="BD2083" s="339"/>
    </row>
    <row r="2084" spans="7:56" s="338" customFormat="1">
      <c r="G2084" s="340"/>
      <c r="L2084" s="340"/>
      <c r="P2084" s="340"/>
      <c r="U2084" s="340"/>
      <c r="V2084" s="340"/>
      <c r="Z2084" s="340"/>
      <c r="AE2084" s="340"/>
      <c r="AI2084" s="340"/>
      <c r="AN2084" s="340"/>
      <c r="AO2084" s="340"/>
      <c r="AS2084" s="340"/>
      <c r="AX2084" s="340"/>
      <c r="BB2084" s="340"/>
      <c r="BD2084" s="339"/>
    </row>
    <row r="2085" spans="7:56" s="338" customFormat="1">
      <c r="G2085" s="340"/>
      <c r="L2085" s="340"/>
      <c r="P2085" s="340"/>
      <c r="U2085" s="340"/>
      <c r="V2085" s="340"/>
      <c r="Z2085" s="340"/>
      <c r="AE2085" s="340"/>
      <c r="AI2085" s="340"/>
      <c r="AN2085" s="340"/>
      <c r="AO2085" s="340"/>
      <c r="AS2085" s="340"/>
      <c r="AX2085" s="340"/>
      <c r="BB2085" s="340"/>
      <c r="BD2085" s="339"/>
    </row>
    <row r="2086" spans="7:56" s="338" customFormat="1">
      <c r="G2086" s="340"/>
      <c r="L2086" s="340"/>
      <c r="P2086" s="340"/>
      <c r="U2086" s="340"/>
      <c r="V2086" s="340"/>
      <c r="Z2086" s="340"/>
      <c r="AE2086" s="340"/>
      <c r="AI2086" s="340"/>
      <c r="AN2086" s="340"/>
      <c r="AO2086" s="340"/>
      <c r="AS2086" s="340"/>
      <c r="AX2086" s="340"/>
      <c r="BB2086" s="340"/>
      <c r="BD2086" s="339"/>
    </row>
    <row r="2087" spans="7:56" s="338" customFormat="1">
      <c r="G2087" s="340"/>
      <c r="L2087" s="340"/>
      <c r="P2087" s="340"/>
      <c r="U2087" s="340"/>
      <c r="V2087" s="340"/>
      <c r="Z2087" s="340"/>
      <c r="AE2087" s="340"/>
      <c r="AI2087" s="340"/>
      <c r="AN2087" s="340"/>
      <c r="AO2087" s="340"/>
      <c r="AS2087" s="340"/>
      <c r="AX2087" s="340"/>
      <c r="BB2087" s="340"/>
      <c r="BD2087" s="339"/>
    </row>
    <row r="2088" spans="7:56" s="338" customFormat="1">
      <c r="G2088" s="340"/>
      <c r="L2088" s="340"/>
      <c r="P2088" s="340"/>
      <c r="U2088" s="340"/>
      <c r="V2088" s="340"/>
      <c r="Z2088" s="340"/>
      <c r="AE2088" s="340"/>
      <c r="AI2088" s="340"/>
      <c r="AN2088" s="340"/>
      <c r="AO2088" s="340"/>
      <c r="AS2088" s="340"/>
      <c r="AX2088" s="340"/>
      <c r="BB2088" s="340"/>
      <c r="BD2088" s="339"/>
    </row>
    <row r="2089" spans="7:56" s="338" customFormat="1">
      <c r="G2089" s="340"/>
      <c r="L2089" s="340"/>
      <c r="P2089" s="340"/>
      <c r="U2089" s="340"/>
      <c r="V2089" s="340"/>
      <c r="Z2089" s="340"/>
      <c r="AE2089" s="340"/>
      <c r="AI2089" s="340"/>
      <c r="AN2089" s="340"/>
      <c r="AO2089" s="340"/>
      <c r="AS2089" s="340"/>
      <c r="AX2089" s="340"/>
      <c r="BB2089" s="340"/>
      <c r="BD2089" s="339"/>
    </row>
    <row r="2090" spans="7:56" s="338" customFormat="1">
      <c r="G2090" s="340"/>
      <c r="L2090" s="340"/>
      <c r="P2090" s="340"/>
      <c r="U2090" s="340"/>
      <c r="V2090" s="340"/>
      <c r="Z2090" s="340"/>
      <c r="AE2090" s="340"/>
      <c r="AI2090" s="340"/>
      <c r="AN2090" s="340"/>
      <c r="AO2090" s="340"/>
      <c r="AS2090" s="340"/>
      <c r="AX2090" s="340"/>
      <c r="BB2090" s="340"/>
      <c r="BD2090" s="339"/>
    </row>
    <row r="2091" spans="7:56" s="338" customFormat="1">
      <c r="G2091" s="340"/>
      <c r="L2091" s="340"/>
      <c r="P2091" s="340"/>
      <c r="U2091" s="340"/>
      <c r="V2091" s="340"/>
      <c r="Z2091" s="340"/>
      <c r="AE2091" s="340"/>
      <c r="AI2091" s="340"/>
      <c r="AN2091" s="340"/>
      <c r="AO2091" s="340"/>
      <c r="AS2091" s="340"/>
      <c r="AX2091" s="340"/>
      <c r="BB2091" s="340"/>
      <c r="BD2091" s="339"/>
    </row>
    <row r="2092" spans="7:56" s="338" customFormat="1">
      <c r="G2092" s="340"/>
      <c r="L2092" s="340"/>
      <c r="P2092" s="340"/>
      <c r="U2092" s="340"/>
      <c r="V2092" s="340"/>
      <c r="Z2092" s="340"/>
      <c r="AE2092" s="340"/>
      <c r="AI2092" s="340"/>
      <c r="AN2092" s="340"/>
      <c r="AO2092" s="340"/>
      <c r="AS2092" s="340"/>
      <c r="AX2092" s="340"/>
      <c r="BB2092" s="340"/>
      <c r="BD2092" s="339"/>
    </row>
    <row r="2093" spans="7:56" s="338" customFormat="1">
      <c r="G2093" s="340"/>
      <c r="L2093" s="340"/>
      <c r="P2093" s="340"/>
      <c r="U2093" s="340"/>
      <c r="V2093" s="340"/>
      <c r="Z2093" s="340"/>
      <c r="AE2093" s="340"/>
      <c r="AI2093" s="340"/>
      <c r="AN2093" s="340"/>
      <c r="AO2093" s="340"/>
      <c r="AS2093" s="340"/>
      <c r="AX2093" s="340"/>
      <c r="BB2093" s="340"/>
      <c r="BD2093" s="339"/>
    </row>
    <row r="2094" spans="7:56" s="338" customFormat="1">
      <c r="G2094" s="340"/>
      <c r="L2094" s="340"/>
      <c r="P2094" s="340"/>
      <c r="U2094" s="340"/>
      <c r="V2094" s="340"/>
      <c r="Z2094" s="340"/>
      <c r="AE2094" s="340"/>
      <c r="AI2094" s="340"/>
      <c r="AN2094" s="340"/>
      <c r="AO2094" s="340"/>
      <c r="AS2094" s="340"/>
      <c r="AX2094" s="340"/>
      <c r="BB2094" s="340"/>
      <c r="BD2094" s="339"/>
    </row>
    <row r="2095" spans="7:56" s="338" customFormat="1">
      <c r="G2095" s="340"/>
      <c r="L2095" s="340"/>
      <c r="P2095" s="340"/>
      <c r="U2095" s="340"/>
      <c r="V2095" s="340"/>
      <c r="Z2095" s="340"/>
      <c r="AE2095" s="340"/>
      <c r="AI2095" s="340"/>
      <c r="AN2095" s="340"/>
      <c r="AO2095" s="340"/>
      <c r="AS2095" s="340"/>
      <c r="AX2095" s="340"/>
      <c r="BB2095" s="340"/>
      <c r="BD2095" s="339"/>
    </row>
    <row r="2096" spans="7:56" s="338" customFormat="1">
      <c r="G2096" s="340"/>
      <c r="L2096" s="340"/>
      <c r="P2096" s="340"/>
      <c r="U2096" s="340"/>
      <c r="V2096" s="340"/>
      <c r="Z2096" s="340"/>
      <c r="AE2096" s="340"/>
      <c r="AI2096" s="340"/>
      <c r="AN2096" s="340"/>
      <c r="AO2096" s="340"/>
      <c r="AS2096" s="340"/>
      <c r="AX2096" s="340"/>
      <c r="BB2096" s="340"/>
      <c r="BD2096" s="339"/>
    </row>
    <row r="2097" spans="7:56" s="338" customFormat="1">
      <c r="G2097" s="340"/>
      <c r="L2097" s="340"/>
      <c r="P2097" s="340"/>
      <c r="U2097" s="340"/>
      <c r="V2097" s="340"/>
      <c r="Z2097" s="340"/>
      <c r="AE2097" s="340"/>
      <c r="AI2097" s="340"/>
      <c r="AN2097" s="340"/>
      <c r="AO2097" s="340"/>
      <c r="AS2097" s="340"/>
      <c r="AX2097" s="340"/>
      <c r="BB2097" s="340"/>
      <c r="BD2097" s="339"/>
    </row>
    <row r="2098" spans="7:56" s="338" customFormat="1">
      <c r="G2098" s="340"/>
      <c r="L2098" s="340"/>
      <c r="P2098" s="340"/>
      <c r="U2098" s="340"/>
      <c r="V2098" s="340"/>
      <c r="Z2098" s="340"/>
      <c r="AE2098" s="340"/>
      <c r="AI2098" s="340"/>
      <c r="AN2098" s="340"/>
      <c r="AO2098" s="340"/>
      <c r="AS2098" s="340"/>
      <c r="AX2098" s="340"/>
      <c r="BB2098" s="340"/>
      <c r="BD2098" s="339"/>
    </row>
    <row r="2099" spans="7:56" s="338" customFormat="1">
      <c r="G2099" s="340"/>
      <c r="L2099" s="340"/>
      <c r="P2099" s="340"/>
      <c r="U2099" s="340"/>
      <c r="V2099" s="340"/>
      <c r="Z2099" s="340"/>
      <c r="AE2099" s="340"/>
      <c r="AI2099" s="340"/>
      <c r="AN2099" s="340"/>
      <c r="AO2099" s="340"/>
      <c r="AS2099" s="340"/>
      <c r="AX2099" s="340"/>
      <c r="BB2099" s="340"/>
      <c r="BD2099" s="339"/>
    </row>
    <row r="2100" spans="7:56" s="338" customFormat="1">
      <c r="G2100" s="340"/>
      <c r="L2100" s="340"/>
      <c r="P2100" s="340"/>
      <c r="U2100" s="340"/>
      <c r="V2100" s="340"/>
      <c r="Z2100" s="340"/>
      <c r="AE2100" s="340"/>
      <c r="AI2100" s="340"/>
      <c r="AN2100" s="340"/>
      <c r="AO2100" s="340"/>
      <c r="AS2100" s="340"/>
      <c r="AX2100" s="340"/>
      <c r="BB2100" s="340"/>
      <c r="BD2100" s="339"/>
    </row>
    <row r="2101" spans="7:56" s="338" customFormat="1">
      <c r="G2101" s="340"/>
      <c r="L2101" s="340"/>
      <c r="P2101" s="340"/>
      <c r="U2101" s="340"/>
      <c r="V2101" s="340"/>
      <c r="Z2101" s="340"/>
      <c r="AE2101" s="340"/>
      <c r="AI2101" s="340"/>
      <c r="AN2101" s="340"/>
      <c r="AO2101" s="340"/>
      <c r="AS2101" s="340"/>
      <c r="AX2101" s="340"/>
      <c r="BB2101" s="340"/>
      <c r="BD2101" s="339"/>
    </row>
    <row r="2102" spans="7:56" s="338" customFormat="1">
      <c r="G2102" s="340"/>
      <c r="L2102" s="340"/>
      <c r="P2102" s="340"/>
      <c r="U2102" s="340"/>
      <c r="V2102" s="340"/>
      <c r="Z2102" s="340"/>
      <c r="AE2102" s="340"/>
      <c r="AI2102" s="340"/>
      <c r="AN2102" s="340"/>
      <c r="AO2102" s="340"/>
      <c r="AS2102" s="340"/>
      <c r="AX2102" s="340"/>
      <c r="BB2102" s="340"/>
      <c r="BD2102" s="339"/>
    </row>
    <row r="2103" spans="7:56" s="338" customFormat="1">
      <c r="G2103" s="340"/>
      <c r="L2103" s="340"/>
      <c r="P2103" s="340"/>
      <c r="U2103" s="340"/>
      <c r="V2103" s="340"/>
      <c r="Z2103" s="340"/>
      <c r="AE2103" s="340"/>
      <c r="AI2103" s="340"/>
      <c r="AN2103" s="340"/>
      <c r="AO2103" s="340"/>
      <c r="AS2103" s="340"/>
      <c r="AX2103" s="340"/>
      <c r="BB2103" s="340"/>
      <c r="BD2103" s="339"/>
    </row>
    <row r="2104" spans="7:56" s="338" customFormat="1">
      <c r="G2104" s="340"/>
      <c r="L2104" s="340"/>
      <c r="P2104" s="340"/>
      <c r="U2104" s="340"/>
      <c r="V2104" s="340"/>
      <c r="Z2104" s="340"/>
      <c r="AE2104" s="340"/>
      <c r="AI2104" s="340"/>
      <c r="AN2104" s="340"/>
      <c r="AO2104" s="340"/>
      <c r="AS2104" s="340"/>
      <c r="AX2104" s="340"/>
      <c r="BB2104" s="340"/>
      <c r="BD2104" s="339"/>
    </row>
    <row r="2105" spans="7:56" s="338" customFormat="1">
      <c r="G2105" s="340"/>
      <c r="L2105" s="340"/>
      <c r="P2105" s="340"/>
      <c r="U2105" s="340"/>
      <c r="V2105" s="340"/>
      <c r="Z2105" s="340"/>
      <c r="AE2105" s="340"/>
      <c r="AI2105" s="340"/>
      <c r="AN2105" s="340"/>
      <c r="AO2105" s="340"/>
      <c r="AS2105" s="340"/>
      <c r="AX2105" s="340"/>
      <c r="BB2105" s="340"/>
      <c r="BD2105" s="339"/>
    </row>
    <row r="2106" spans="7:56" s="338" customFormat="1">
      <c r="G2106" s="340"/>
      <c r="L2106" s="340"/>
      <c r="P2106" s="340"/>
      <c r="U2106" s="340"/>
      <c r="V2106" s="340"/>
      <c r="Z2106" s="340"/>
      <c r="AE2106" s="340"/>
      <c r="AI2106" s="340"/>
      <c r="AN2106" s="340"/>
      <c r="AO2106" s="340"/>
      <c r="AS2106" s="340"/>
      <c r="AX2106" s="340"/>
      <c r="BB2106" s="340"/>
      <c r="BD2106" s="339"/>
    </row>
    <row r="2107" spans="7:56" s="338" customFormat="1">
      <c r="G2107" s="340"/>
      <c r="L2107" s="340"/>
      <c r="P2107" s="340"/>
      <c r="U2107" s="340"/>
      <c r="V2107" s="340"/>
      <c r="Z2107" s="340"/>
      <c r="AE2107" s="340"/>
      <c r="AI2107" s="340"/>
      <c r="AN2107" s="340"/>
      <c r="AO2107" s="340"/>
      <c r="AS2107" s="340"/>
      <c r="AX2107" s="340"/>
      <c r="BB2107" s="340"/>
      <c r="BD2107" s="339"/>
    </row>
    <row r="2108" spans="7:56" s="338" customFormat="1">
      <c r="G2108" s="340"/>
      <c r="L2108" s="340"/>
      <c r="P2108" s="340"/>
      <c r="U2108" s="340"/>
      <c r="V2108" s="340"/>
      <c r="Z2108" s="340"/>
      <c r="AE2108" s="340"/>
      <c r="AI2108" s="340"/>
      <c r="AN2108" s="340"/>
      <c r="AO2108" s="340"/>
      <c r="AS2108" s="340"/>
      <c r="AX2108" s="340"/>
      <c r="BB2108" s="340"/>
      <c r="BD2108" s="339"/>
    </row>
    <row r="2109" spans="7:56" s="338" customFormat="1">
      <c r="G2109" s="340"/>
      <c r="L2109" s="340"/>
      <c r="P2109" s="340"/>
      <c r="U2109" s="340"/>
      <c r="V2109" s="340"/>
      <c r="Z2109" s="340"/>
      <c r="AE2109" s="340"/>
      <c r="AI2109" s="340"/>
      <c r="AN2109" s="340"/>
      <c r="AO2109" s="340"/>
      <c r="AS2109" s="340"/>
      <c r="AX2109" s="340"/>
      <c r="BB2109" s="340"/>
      <c r="BD2109" s="339"/>
    </row>
    <row r="2110" spans="7:56" s="338" customFormat="1">
      <c r="G2110" s="340"/>
      <c r="L2110" s="340"/>
      <c r="P2110" s="340"/>
      <c r="U2110" s="340"/>
      <c r="V2110" s="340"/>
      <c r="Z2110" s="340"/>
      <c r="AE2110" s="340"/>
      <c r="AI2110" s="340"/>
      <c r="AN2110" s="340"/>
      <c r="AO2110" s="340"/>
      <c r="AS2110" s="340"/>
      <c r="AX2110" s="340"/>
      <c r="BB2110" s="340"/>
      <c r="BD2110" s="339"/>
    </row>
    <row r="2111" spans="7:56" s="338" customFormat="1">
      <c r="G2111" s="340"/>
      <c r="L2111" s="340"/>
      <c r="P2111" s="340"/>
      <c r="U2111" s="340"/>
      <c r="V2111" s="340"/>
      <c r="Z2111" s="340"/>
      <c r="AE2111" s="340"/>
      <c r="AI2111" s="340"/>
      <c r="AN2111" s="340"/>
      <c r="AO2111" s="340"/>
      <c r="AS2111" s="340"/>
      <c r="AX2111" s="340"/>
      <c r="BB2111" s="340"/>
      <c r="BD2111" s="339"/>
    </row>
    <row r="2112" spans="7:56" s="338" customFormat="1">
      <c r="G2112" s="340"/>
      <c r="L2112" s="340"/>
      <c r="P2112" s="340"/>
      <c r="U2112" s="340"/>
      <c r="V2112" s="340"/>
      <c r="Z2112" s="340"/>
      <c r="AE2112" s="340"/>
      <c r="AI2112" s="340"/>
      <c r="AN2112" s="340"/>
      <c r="AO2112" s="340"/>
      <c r="AS2112" s="340"/>
      <c r="AX2112" s="340"/>
      <c r="BB2112" s="340"/>
      <c r="BD2112" s="339"/>
    </row>
    <row r="2113" spans="7:56" s="338" customFormat="1">
      <c r="G2113" s="340"/>
      <c r="L2113" s="340"/>
      <c r="P2113" s="340"/>
      <c r="U2113" s="340"/>
      <c r="V2113" s="340"/>
      <c r="Z2113" s="340"/>
      <c r="AE2113" s="340"/>
      <c r="AI2113" s="340"/>
      <c r="AN2113" s="340"/>
      <c r="AO2113" s="340"/>
      <c r="AS2113" s="340"/>
      <c r="AX2113" s="340"/>
      <c r="BB2113" s="340"/>
      <c r="BD2113" s="339"/>
    </row>
    <row r="2114" spans="7:56" s="338" customFormat="1">
      <c r="G2114" s="340"/>
      <c r="L2114" s="340"/>
      <c r="P2114" s="340"/>
      <c r="U2114" s="340"/>
      <c r="V2114" s="340"/>
      <c r="Z2114" s="340"/>
      <c r="AE2114" s="340"/>
      <c r="AI2114" s="340"/>
      <c r="AN2114" s="340"/>
      <c r="AO2114" s="340"/>
      <c r="AS2114" s="340"/>
      <c r="AX2114" s="340"/>
      <c r="BB2114" s="340"/>
      <c r="BD2114" s="339"/>
    </row>
    <row r="2115" spans="7:56" s="338" customFormat="1">
      <c r="G2115" s="340"/>
      <c r="L2115" s="340"/>
      <c r="P2115" s="340"/>
      <c r="U2115" s="340"/>
      <c r="V2115" s="340"/>
      <c r="Z2115" s="340"/>
      <c r="AE2115" s="340"/>
      <c r="AI2115" s="340"/>
      <c r="AN2115" s="340"/>
      <c r="AO2115" s="340"/>
      <c r="AS2115" s="340"/>
      <c r="AX2115" s="340"/>
      <c r="BB2115" s="340"/>
      <c r="BD2115" s="339"/>
    </row>
    <row r="2116" spans="7:56" s="338" customFormat="1">
      <c r="G2116" s="340"/>
      <c r="L2116" s="340"/>
      <c r="P2116" s="340"/>
      <c r="U2116" s="340"/>
      <c r="V2116" s="340"/>
      <c r="Z2116" s="340"/>
      <c r="AE2116" s="340"/>
      <c r="AI2116" s="340"/>
      <c r="AN2116" s="340"/>
      <c r="AO2116" s="340"/>
      <c r="AS2116" s="340"/>
      <c r="AX2116" s="340"/>
      <c r="BB2116" s="340"/>
      <c r="BD2116" s="339"/>
    </row>
    <row r="2117" spans="7:56" s="338" customFormat="1">
      <c r="G2117" s="340"/>
      <c r="L2117" s="340"/>
      <c r="P2117" s="340"/>
      <c r="U2117" s="340"/>
      <c r="V2117" s="340"/>
      <c r="Z2117" s="340"/>
      <c r="AE2117" s="340"/>
      <c r="AI2117" s="340"/>
      <c r="AN2117" s="340"/>
      <c r="AO2117" s="340"/>
      <c r="AS2117" s="340"/>
      <c r="AX2117" s="340"/>
      <c r="BB2117" s="340"/>
      <c r="BD2117" s="339"/>
    </row>
    <row r="2118" spans="7:56" s="338" customFormat="1">
      <c r="G2118" s="340"/>
      <c r="L2118" s="340"/>
      <c r="P2118" s="340"/>
      <c r="U2118" s="340"/>
      <c r="V2118" s="340"/>
      <c r="Z2118" s="340"/>
      <c r="AE2118" s="340"/>
      <c r="AI2118" s="340"/>
      <c r="AN2118" s="340"/>
      <c r="AO2118" s="340"/>
      <c r="AS2118" s="340"/>
      <c r="AX2118" s="340"/>
      <c r="BB2118" s="340"/>
      <c r="BD2118" s="339"/>
    </row>
    <row r="2119" spans="7:56" s="338" customFormat="1">
      <c r="G2119" s="340"/>
      <c r="L2119" s="340"/>
      <c r="P2119" s="340"/>
      <c r="U2119" s="340"/>
      <c r="V2119" s="340"/>
      <c r="Z2119" s="340"/>
      <c r="AE2119" s="340"/>
      <c r="AI2119" s="340"/>
      <c r="AN2119" s="340"/>
      <c r="AO2119" s="340"/>
      <c r="AS2119" s="340"/>
      <c r="AX2119" s="340"/>
      <c r="BB2119" s="340"/>
      <c r="BD2119" s="339"/>
    </row>
    <row r="2120" spans="7:56" s="338" customFormat="1">
      <c r="G2120" s="340"/>
      <c r="L2120" s="340"/>
      <c r="P2120" s="340"/>
      <c r="U2120" s="340"/>
      <c r="V2120" s="340"/>
      <c r="Z2120" s="340"/>
      <c r="AE2120" s="340"/>
      <c r="AI2120" s="340"/>
      <c r="AN2120" s="340"/>
      <c r="AO2120" s="340"/>
      <c r="AS2120" s="340"/>
      <c r="AX2120" s="340"/>
      <c r="BB2120" s="340"/>
      <c r="BD2120" s="339"/>
    </row>
    <row r="2121" spans="7:56" s="338" customFormat="1">
      <c r="G2121" s="340"/>
      <c r="L2121" s="340"/>
      <c r="P2121" s="340"/>
      <c r="U2121" s="340"/>
      <c r="V2121" s="340"/>
      <c r="Z2121" s="340"/>
      <c r="AE2121" s="340"/>
      <c r="AI2121" s="340"/>
      <c r="AN2121" s="340"/>
      <c r="AO2121" s="340"/>
      <c r="AS2121" s="340"/>
      <c r="AX2121" s="340"/>
      <c r="BB2121" s="340"/>
      <c r="BD2121" s="339"/>
    </row>
    <row r="2122" spans="7:56" s="338" customFormat="1">
      <c r="G2122" s="340"/>
      <c r="L2122" s="340"/>
      <c r="P2122" s="340"/>
      <c r="U2122" s="340"/>
      <c r="V2122" s="340"/>
      <c r="Z2122" s="340"/>
      <c r="AE2122" s="340"/>
      <c r="AI2122" s="340"/>
      <c r="AN2122" s="340"/>
      <c r="AO2122" s="340"/>
      <c r="AS2122" s="340"/>
      <c r="AX2122" s="340"/>
      <c r="BB2122" s="340"/>
      <c r="BD2122" s="339"/>
    </row>
    <row r="2123" spans="7:56" s="338" customFormat="1">
      <c r="G2123" s="340"/>
      <c r="L2123" s="340"/>
      <c r="P2123" s="340"/>
      <c r="U2123" s="340"/>
      <c r="V2123" s="340"/>
      <c r="Z2123" s="340"/>
      <c r="AE2123" s="340"/>
      <c r="AI2123" s="340"/>
      <c r="AN2123" s="340"/>
      <c r="AO2123" s="340"/>
      <c r="AS2123" s="340"/>
      <c r="AX2123" s="340"/>
      <c r="BB2123" s="340"/>
      <c r="BD2123" s="339"/>
    </row>
    <row r="2124" spans="7:56" s="338" customFormat="1">
      <c r="G2124" s="340"/>
      <c r="L2124" s="340"/>
      <c r="P2124" s="340"/>
      <c r="U2124" s="340"/>
      <c r="V2124" s="340"/>
      <c r="Z2124" s="340"/>
      <c r="AE2124" s="340"/>
      <c r="AI2124" s="340"/>
      <c r="AN2124" s="340"/>
      <c r="AO2124" s="340"/>
      <c r="AS2124" s="340"/>
      <c r="AX2124" s="340"/>
      <c r="BB2124" s="340"/>
      <c r="BD2124" s="339"/>
    </row>
    <row r="2125" spans="7:56" s="338" customFormat="1">
      <c r="G2125" s="340"/>
      <c r="L2125" s="340"/>
      <c r="P2125" s="340"/>
      <c r="U2125" s="340"/>
      <c r="V2125" s="340"/>
      <c r="Z2125" s="340"/>
      <c r="AE2125" s="340"/>
      <c r="AI2125" s="340"/>
      <c r="AN2125" s="340"/>
      <c r="AO2125" s="340"/>
      <c r="AS2125" s="340"/>
      <c r="AX2125" s="340"/>
      <c r="BB2125" s="340"/>
      <c r="BD2125" s="339"/>
    </row>
    <row r="2126" spans="7:56" s="338" customFormat="1">
      <c r="G2126" s="340"/>
      <c r="L2126" s="340"/>
      <c r="P2126" s="340"/>
      <c r="U2126" s="340"/>
      <c r="V2126" s="340"/>
      <c r="Z2126" s="340"/>
      <c r="AE2126" s="340"/>
      <c r="AI2126" s="340"/>
      <c r="AN2126" s="340"/>
      <c r="AO2126" s="340"/>
      <c r="AS2126" s="340"/>
      <c r="AX2126" s="340"/>
      <c r="BB2126" s="340"/>
      <c r="BD2126" s="339"/>
    </row>
    <row r="2127" spans="7:56" s="338" customFormat="1">
      <c r="G2127" s="340"/>
      <c r="L2127" s="340"/>
      <c r="P2127" s="340"/>
      <c r="U2127" s="340"/>
      <c r="V2127" s="340"/>
      <c r="Z2127" s="340"/>
      <c r="AE2127" s="340"/>
      <c r="AI2127" s="340"/>
      <c r="AN2127" s="340"/>
      <c r="AO2127" s="340"/>
      <c r="AS2127" s="340"/>
      <c r="AX2127" s="340"/>
      <c r="BB2127" s="340"/>
      <c r="BD2127" s="339"/>
    </row>
    <row r="2128" spans="7:56" s="338" customFormat="1">
      <c r="G2128" s="340"/>
      <c r="L2128" s="340"/>
      <c r="P2128" s="340"/>
      <c r="U2128" s="340"/>
      <c r="V2128" s="340"/>
      <c r="Z2128" s="340"/>
      <c r="AE2128" s="340"/>
      <c r="AI2128" s="340"/>
      <c r="AN2128" s="340"/>
      <c r="AO2128" s="340"/>
      <c r="AS2128" s="340"/>
      <c r="AX2128" s="340"/>
      <c r="BB2128" s="340"/>
      <c r="BD2128" s="339"/>
    </row>
    <row r="2129" spans="7:56" s="338" customFormat="1">
      <c r="G2129" s="340"/>
      <c r="L2129" s="340"/>
      <c r="P2129" s="340"/>
      <c r="U2129" s="340"/>
      <c r="V2129" s="340"/>
      <c r="Z2129" s="340"/>
      <c r="AE2129" s="340"/>
      <c r="AI2129" s="340"/>
      <c r="AN2129" s="340"/>
      <c r="AO2129" s="340"/>
      <c r="AS2129" s="340"/>
      <c r="AX2129" s="340"/>
      <c r="BB2129" s="340"/>
      <c r="BD2129" s="339"/>
    </row>
    <row r="2130" spans="7:56" s="338" customFormat="1">
      <c r="G2130" s="340"/>
      <c r="L2130" s="340"/>
      <c r="P2130" s="340"/>
      <c r="U2130" s="340"/>
      <c r="V2130" s="340"/>
      <c r="Z2130" s="340"/>
      <c r="AE2130" s="340"/>
      <c r="AI2130" s="340"/>
      <c r="AN2130" s="340"/>
      <c r="AO2130" s="340"/>
      <c r="AS2130" s="340"/>
      <c r="AX2130" s="340"/>
      <c r="BB2130" s="340"/>
      <c r="BD2130" s="339"/>
    </row>
    <row r="2131" spans="7:56" s="338" customFormat="1">
      <c r="G2131" s="340"/>
      <c r="L2131" s="340"/>
      <c r="P2131" s="340"/>
      <c r="U2131" s="340"/>
      <c r="V2131" s="340"/>
      <c r="Z2131" s="340"/>
      <c r="AE2131" s="340"/>
      <c r="AI2131" s="340"/>
      <c r="AN2131" s="340"/>
      <c r="AO2131" s="340"/>
      <c r="AS2131" s="340"/>
      <c r="AX2131" s="340"/>
      <c r="BB2131" s="340"/>
      <c r="BD2131" s="339"/>
    </row>
    <row r="2132" spans="7:56" s="338" customFormat="1">
      <c r="G2132" s="340"/>
      <c r="L2132" s="340"/>
      <c r="P2132" s="340"/>
      <c r="U2132" s="340"/>
      <c r="V2132" s="340"/>
      <c r="Z2132" s="340"/>
      <c r="AE2132" s="340"/>
      <c r="AI2132" s="340"/>
      <c r="AN2132" s="340"/>
      <c r="AO2132" s="340"/>
      <c r="AS2132" s="340"/>
      <c r="AX2132" s="340"/>
      <c r="BB2132" s="340"/>
      <c r="BD2132" s="339"/>
    </row>
    <row r="2133" spans="7:56" s="338" customFormat="1">
      <c r="G2133" s="340"/>
      <c r="L2133" s="340"/>
      <c r="P2133" s="340"/>
      <c r="U2133" s="340"/>
      <c r="V2133" s="340"/>
      <c r="Z2133" s="340"/>
      <c r="AE2133" s="340"/>
      <c r="AI2133" s="340"/>
      <c r="AN2133" s="340"/>
      <c r="AO2133" s="340"/>
      <c r="AS2133" s="340"/>
      <c r="AX2133" s="340"/>
      <c r="BB2133" s="340"/>
      <c r="BD2133" s="339"/>
    </row>
    <row r="2134" spans="7:56" s="338" customFormat="1">
      <c r="G2134" s="340"/>
      <c r="L2134" s="340"/>
      <c r="P2134" s="340"/>
      <c r="U2134" s="340"/>
      <c r="V2134" s="340"/>
      <c r="Z2134" s="340"/>
      <c r="AE2134" s="340"/>
      <c r="AI2134" s="340"/>
      <c r="AN2134" s="340"/>
      <c r="AO2134" s="340"/>
      <c r="AS2134" s="340"/>
      <c r="AX2134" s="340"/>
      <c r="BB2134" s="340"/>
      <c r="BD2134" s="339"/>
    </row>
    <row r="2135" spans="7:56" s="338" customFormat="1">
      <c r="G2135" s="340"/>
      <c r="L2135" s="340"/>
      <c r="P2135" s="340"/>
      <c r="U2135" s="340"/>
      <c r="V2135" s="340"/>
      <c r="Z2135" s="340"/>
      <c r="AE2135" s="340"/>
      <c r="AI2135" s="340"/>
      <c r="AN2135" s="340"/>
      <c r="AO2135" s="340"/>
      <c r="AS2135" s="340"/>
      <c r="AX2135" s="340"/>
      <c r="BB2135" s="340"/>
      <c r="BD2135" s="339"/>
    </row>
    <row r="2136" spans="7:56" s="338" customFormat="1">
      <c r="G2136" s="340"/>
      <c r="L2136" s="340"/>
      <c r="P2136" s="340"/>
      <c r="U2136" s="340"/>
      <c r="V2136" s="340"/>
      <c r="Z2136" s="340"/>
      <c r="AE2136" s="340"/>
      <c r="AI2136" s="340"/>
      <c r="AN2136" s="340"/>
      <c r="AO2136" s="340"/>
      <c r="AS2136" s="340"/>
      <c r="AX2136" s="340"/>
      <c r="BB2136" s="340"/>
      <c r="BD2136" s="339"/>
    </row>
    <row r="2137" spans="7:56" s="338" customFormat="1">
      <c r="G2137" s="340"/>
      <c r="L2137" s="340"/>
      <c r="P2137" s="340"/>
      <c r="U2137" s="340"/>
      <c r="V2137" s="340"/>
      <c r="Z2137" s="340"/>
      <c r="AE2137" s="340"/>
      <c r="AI2137" s="340"/>
      <c r="AN2137" s="340"/>
      <c r="AO2137" s="340"/>
      <c r="AS2137" s="340"/>
      <c r="AX2137" s="340"/>
      <c r="BB2137" s="340"/>
      <c r="BD2137" s="339"/>
    </row>
    <row r="2138" spans="7:56" s="338" customFormat="1">
      <c r="G2138" s="340"/>
      <c r="L2138" s="340"/>
      <c r="P2138" s="340"/>
      <c r="U2138" s="340"/>
      <c r="V2138" s="340"/>
      <c r="Z2138" s="340"/>
      <c r="AE2138" s="340"/>
      <c r="AI2138" s="340"/>
      <c r="AN2138" s="340"/>
      <c r="AO2138" s="340"/>
      <c r="AS2138" s="340"/>
      <c r="AX2138" s="340"/>
      <c r="BB2138" s="340"/>
      <c r="BD2138" s="339"/>
    </row>
    <row r="2139" spans="7:56" s="338" customFormat="1">
      <c r="G2139" s="340"/>
      <c r="L2139" s="340"/>
      <c r="P2139" s="340"/>
      <c r="U2139" s="340"/>
      <c r="V2139" s="340"/>
      <c r="Z2139" s="340"/>
      <c r="AE2139" s="340"/>
      <c r="AI2139" s="340"/>
      <c r="AN2139" s="340"/>
      <c r="AO2139" s="340"/>
      <c r="AS2139" s="340"/>
      <c r="AX2139" s="340"/>
      <c r="BB2139" s="340"/>
      <c r="BD2139" s="339"/>
    </row>
    <row r="2140" spans="7:56" s="338" customFormat="1">
      <c r="G2140" s="340"/>
      <c r="L2140" s="340"/>
      <c r="P2140" s="340"/>
      <c r="U2140" s="340"/>
      <c r="V2140" s="340"/>
      <c r="Z2140" s="340"/>
      <c r="AE2140" s="340"/>
      <c r="AI2140" s="340"/>
      <c r="AN2140" s="340"/>
      <c r="AO2140" s="340"/>
      <c r="AS2140" s="340"/>
      <c r="AX2140" s="340"/>
      <c r="BB2140" s="340"/>
      <c r="BD2140" s="339"/>
    </row>
    <row r="2141" spans="7:56" s="338" customFormat="1">
      <c r="G2141" s="340"/>
      <c r="L2141" s="340"/>
      <c r="P2141" s="340"/>
      <c r="U2141" s="340"/>
      <c r="V2141" s="340"/>
      <c r="Z2141" s="340"/>
      <c r="AE2141" s="340"/>
      <c r="AI2141" s="340"/>
      <c r="AN2141" s="340"/>
      <c r="AO2141" s="340"/>
      <c r="AS2141" s="340"/>
      <c r="AX2141" s="340"/>
      <c r="BB2141" s="340"/>
      <c r="BD2141" s="339"/>
    </row>
    <row r="2142" spans="7:56" s="338" customFormat="1">
      <c r="G2142" s="340"/>
      <c r="L2142" s="340"/>
      <c r="P2142" s="340"/>
      <c r="U2142" s="340"/>
      <c r="V2142" s="340"/>
      <c r="Z2142" s="340"/>
      <c r="AE2142" s="340"/>
      <c r="AI2142" s="340"/>
      <c r="AN2142" s="340"/>
      <c r="AO2142" s="340"/>
      <c r="AS2142" s="340"/>
      <c r="AX2142" s="340"/>
      <c r="BB2142" s="340"/>
      <c r="BD2142" s="339"/>
    </row>
    <row r="2143" spans="7:56" s="338" customFormat="1">
      <c r="G2143" s="340"/>
      <c r="L2143" s="340"/>
      <c r="P2143" s="340"/>
      <c r="U2143" s="340"/>
      <c r="V2143" s="340"/>
      <c r="Z2143" s="340"/>
      <c r="AE2143" s="340"/>
      <c r="AI2143" s="340"/>
      <c r="AN2143" s="340"/>
      <c r="AO2143" s="340"/>
      <c r="AS2143" s="340"/>
      <c r="AX2143" s="340"/>
      <c r="BB2143" s="340"/>
      <c r="BD2143" s="339"/>
    </row>
    <row r="2144" spans="7:56" s="338" customFormat="1">
      <c r="G2144" s="340"/>
      <c r="L2144" s="340"/>
      <c r="P2144" s="340"/>
      <c r="U2144" s="340"/>
      <c r="V2144" s="340"/>
      <c r="Z2144" s="340"/>
      <c r="AE2144" s="340"/>
      <c r="AI2144" s="340"/>
      <c r="AN2144" s="340"/>
      <c r="AO2144" s="340"/>
      <c r="AS2144" s="340"/>
      <c r="AX2144" s="340"/>
      <c r="BB2144" s="340"/>
      <c r="BD2144" s="339"/>
    </row>
    <row r="2145" spans="7:56" s="338" customFormat="1">
      <c r="G2145" s="340"/>
      <c r="L2145" s="340"/>
      <c r="P2145" s="340"/>
      <c r="U2145" s="340"/>
      <c r="V2145" s="340"/>
      <c r="Z2145" s="340"/>
      <c r="AE2145" s="340"/>
      <c r="AI2145" s="340"/>
      <c r="AN2145" s="340"/>
      <c r="AO2145" s="340"/>
      <c r="AS2145" s="340"/>
      <c r="AX2145" s="340"/>
      <c r="BB2145" s="340"/>
      <c r="BD2145" s="339"/>
    </row>
    <row r="2146" spans="7:56" s="338" customFormat="1">
      <c r="G2146" s="340"/>
      <c r="L2146" s="340"/>
      <c r="P2146" s="340"/>
      <c r="U2146" s="340"/>
      <c r="V2146" s="340"/>
      <c r="Z2146" s="340"/>
      <c r="AE2146" s="340"/>
      <c r="AI2146" s="340"/>
      <c r="AN2146" s="340"/>
      <c r="AO2146" s="340"/>
      <c r="AS2146" s="340"/>
      <c r="AX2146" s="340"/>
      <c r="BB2146" s="340"/>
      <c r="BD2146" s="339"/>
    </row>
    <row r="2147" spans="7:56" s="338" customFormat="1">
      <c r="G2147" s="340"/>
      <c r="L2147" s="340"/>
      <c r="P2147" s="340"/>
      <c r="U2147" s="340"/>
      <c r="V2147" s="340"/>
      <c r="Z2147" s="340"/>
      <c r="AE2147" s="340"/>
      <c r="AI2147" s="340"/>
      <c r="AN2147" s="340"/>
      <c r="AO2147" s="340"/>
      <c r="AS2147" s="340"/>
      <c r="AX2147" s="340"/>
      <c r="BB2147" s="340"/>
      <c r="BD2147" s="339"/>
    </row>
    <row r="2148" spans="7:56" s="338" customFormat="1">
      <c r="G2148" s="340"/>
      <c r="L2148" s="340"/>
      <c r="P2148" s="340"/>
      <c r="U2148" s="340"/>
      <c r="V2148" s="340"/>
      <c r="Z2148" s="340"/>
      <c r="AE2148" s="340"/>
      <c r="AI2148" s="340"/>
      <c r="AN2148" s="340"/>
      <c r="AO2148" s="340"/>
      <c r="AS2148" s="340"/>
      <c r="AX2148" s="340"/>
      <c r="BB2148" s="340"/>
      <c r="BD2148" s="339"/>
    </row>
    <row r="2149" spans="7:56" s="338" customFormat="1">
      <c r="G2149" s="340"/>
      <c r="L2149" s="340"/>
      <c r="P2149" s="340"/>
      <c r="U2149" s="340"/>
      <c r="V2149" s="340"/>
      <c r="Z2149" s="340"/>
      <c r="AE2149" s="340"/>
      <c r="AI2149" s="340"/>
      <c r="AN2149" s="340"/>
      <c r="AO2149" s="340"/>
      <c r="AS2149" s="340"/>
      <c r="AX2149" s="340"/>
      <c r="BB2149" s="340"/>
      <c r="BD2149" s="339"/>
    </row>
    <row r="2150" spans="7:56" s="338" customFormat="1">
      <c r="G2150" s="340"/>
      <c r="L2150" s="340"/>
      <c r="P2150" s="340"/>
      <c r="U2150" s="340"/>
      <c r="V2150" s="340"/>
      <c r="Z2150" s="340"/>
      <c r="AE2150" s="340"/>
      <c r="AI2150" s="340"/>
      <c r="AN2150" s="340"/>
      <c r="AO2150" s="340"/>
      <c r="AS2150" s="340"/>
      <c r="AX2150" s="340"/>
      <c r="BB2150" s="340"/>
      <c r="BD2150" s="339"/>
    </row>
    <row r="2151" spans="7:56" s="338" customFormat="1">
      <c r="G2151" s="340"/>
      <c r="L2151" s="340"/>
      <c r="P2151" s="340"/>
      <c r="U2151" s="340"/>
      <c r="V2151" s="340"/>
      <c r="Z2151" s="340"/>
      <c r="AE2151" s="340"/>
      <c r="AI2151" s="340"/>
      <c r="AN2151" s="340"/>
      <c r="AO2151" s="340"/>
      <c r="AS2151" s="340"/>
      <c r="AX2151" s="340"/>
      <c r="BB2151" s="340"/>
      <c r="BD2151" s="339"/>
    </row>
    <row r="2152" spans="7:56" s="338" customFormat="1">
      <c r="G2152" s="340"/>
      <c r="L2152" s="340"/>
      <c r="P2152" s="340"/>
      <c r="U2152" s="340"/>
      <c r="V2152" s="340"/>
      <c r="Z2152" s="340"/>
      <c r="AE2152" s="340"/>
      <c r="AI2152" s="340"/>
      <c r="AN2152" s="340"/>
      <c r="AO2152" s="340"/>
      <c r="AS2152" s="340"/>
      <c r="AX2152" s="340"/>
      <c r="BB2152" s="340"/>
      <c r="BD2152" s="339"/>
    </row>
    <row r="2153" spans="7:56" s="338" customFormat="1">
      <c r="G2153" s="340"/>
      <c r="L2153" s="340"/>
      <c r="P2153" s="340"/>
      <c r="U2153" s="340"/>
      <c r="V2153" s="340"/>
      <c r="Z2153" s="340"/>
      <c r="AE2153" s="340"/>
      <c r="AI2153" s="340"/>
      <c r="AN2153" s="340"/>
      <c r="AO2153" s="340"/>
      <c r="AS2153" s="340"/>
      <c r="AX2153" s="340"/>
      <c r="BB2153" s="340"/>
      <c r="BD2153" s="339"/>
    </row>
    <row r="2154" spans="7:56" s="338" customFormat="1">
      <c r="G2154" s="340"/>
      <c r="L2154" s="340"/>
      <c r="P2154" s="340"/>
      <c r="U2154" s="340"/>
      <c r="V2154" s="340"/>
      <c r="Z2154" s="340"/>
      <c r="AE2154" s="340"/>
      <c r="AI2154" s="340"/>
      <c r="AN2154" s="340"/>
      <c r="AO2154" s="340"/>
      <c r="AS2154" s="340"/>
      <c r="AX2154" s="340"/>
      <c r="BB2154" s="340"/>
      <c r="BD2154" s="339"/>
    </row>
    <row r="2155" spans="7:56" s="338" customFormat="1">
      <c r="G2155" s="340"/>
      <c r="L2155" s="340"/>
      <c r="P2155" s="340"/>
      <c r="U2155" s="340"/>
      <c r="V2155" s="340"/>
      <c r="Z2155" s="340"/>
      <c r="AE2155" s="340"/>
      <c r="AI2155" s="340"/>
      <c r="AN2155" s="340"/>
      <c r="AO2155" s="340"/>
      <c r="AS2155" s="340"/>
      <c r="AX2155" s="340"/>
      <c r="BB2155" s="340"/>
      <c r="BD2155" s="339"/>
    </row>
    <row r="2156" spans="7:56" s="338" customFormat="1">
      <c r="G2156" s="340"/>
      <c r="L2156" s="340"/>
      <c r="P2156" s="340"/>
      <c r="U2156" s="340"/>
      <c r="V2156" s="340"/>
      <c r="Z2156" s="340"/>
      <c r="AE2156" s="340"/>
      <c r="AI2156" s="340"/>
      <c r="AN2156" s="340"/>
      <c r="AO2156" s="340"/>
      <c r="AS2156" s="340"/>
      <c r="AX2156" s="340"/>
      <c r="BB2156" s="340"/>
      <c r="BD2156" s="339"/>
    </row>
    <row r="2157" spans="7:56" s="338" customFormat="1">
      <c r="G2157" s="340"/>
      <c r="L2157" s="340"/>
      <c r="P2157" s="340"/>
      <c r="U2157" s="340"/>
      <c r="V2157" s="340"/>
      <c r="Z2157" s="340"/>
      <c r="AE2157" s="340"/>
      <c r="AI2157" s="340"/>
      <c r="AN2157" s="340"/>
      <c r="AO2157" s="340"/>
      <c r="AS2157" s="340"/>
      <c r="AX2157" s="340"/>
      <c r="BB2157" s="340"/>
      <c r="BD2157" s="339"/>
    </row>
    <row r="2158" spans="7:56" s="338" customFormat="1">
      <c r="G2158" s="340"/>
      <c r="L2158" s="340"/>
      <c r="P2158" s="340"/>
      <c r="U2158" s="340"/>
      <c r="V2158" s="340"/>
      <c r="Z2158" s="340"/>
      <c r="AE2158" s="340"/>
      <c r="AI2158" s="340"/>
      <c r="AN2158" s="340"/>
      <c r="AO2158" s="340"/>
      <c r="AS2158" s="340"/>
      <c r="AX2158" s="340"/>
      <c r="BB2158" s="340"/>
      <c r="BD2158" s="339"/>
    </row>
    <row r="2159" spans="7:56" s="338" customFormat="1">
      <c r="G2159" s="340"/>
      <c r="L2159" s="340"/>
      <c r="P2159" s="340"/>
      <c r="U2159" s="340"/>
      <c r="V2159" s="340"/>
      <c r="Z2159" s="340"/>
      <c r="AE2159" s="340"/>
      <c r="AI2159" s="340"/>
      <c r="AN2159" s="340"/>
      <c r="AO2159" s="340"/>
      <c r="AS2159" s="340"/>
      <c r="AX2159" s="340"/>
      <c r="BB2159" s="340"/>
      <c r="BD2159" s="339"/>
    </row>
    <row r="2160" spans="7:56" s="338" customFormat="1">
      <c r="G2160" s="340"/>
      <c r="L2160" s="340"/>
      <c r="P2160" s="340"/>
      <c r="U2160" s="340"/>
      <c r="V2160" s="340"/>
      <c r="Z2160" s="340"/>
      <c r="AE2160" s="340"/>
      <c r="AI2160" s="340"/>
      <c r="AN2160" s="340"/>
      <c r="AO2160" s="340"/>
      <c r="AS2160" s="340"/>
      <c r="AX2160" s="340"/>
      <c r="BB2160" s="340"/>
      <c r="BD2160" s="339"/>
    </row>
    <row r="2161" spans="7:56" s="338" customFormat="1">
      <c r="G2161" s="340"/>
      <c r="L2161" s="340"/>
      <c r="P2161" s="340"/>
      <c r="U2161" s="340"/>
      <c r="V2161" s="340"/>
      <c r="Z2161" s="340"/>
      <c r="AE2161" s="340"/>
      <c r="AI2161" s="340"/>
      <c r="AN2161" s="340"/>
      <c r="AO2161" s="340"/>
      <c r="AS2161" s="340"/>
      <c r="AX2161" s="340"/>
      <c r="BB2161" s="340"/>
      <c r="BD2161" s="339"/>
    </row>
    <row r="2162" spans="7:56" s="338" customFormat="1">
      <c r="G2162" s="340"/>
      <c r="L2162" s="340"/>
      <c r="P2162" s="340"/>
      <c r="U2162" s="340"/>
      <c r="V2162" s="340"/>
      <c r="Z2162" s="340"/>
      <c r="AE2162" s="340"/>
      <c r="AI2162" s="340"/>
      <c r="AN2162" s="340"/>
      <c r="AO2162" s="340"/>
      <c r="AS2162" s="340"/>
      <c r="AX2162" s="340"/>
      <c r="BB2162" s="340"/>
      <c r="BD2162" s="339"/>
    </row>
    <row r="2163" spans="7:56" s="338" customFormat="1">
      <c r="G2163" s="340"/>
      <c r="L2163" s="340"/>
      <c r="P2163" s="340"/>
      <c r="U2163" s="340"/>
      <c r="V2163" s="340"/>
      <c r="Z2163" s="340"/>
      <c r="AE2163" s="340"/>
      <c r="AI2163" s="340"/>
      <c r="AN2163" s="340"/>
      <c r="AO2163" s="340"/>
      <c r="AS2163" s="340"/>
      <c r="AX2163" s="340"/>
      <c r="BB2163" s="340"/>
      <c r="BD2163" s="339"/>
    </row>
    <row r="2164" spans="7:56" s="338" customFormat="1">
      <c r="G2164" s="340"/>
      <c r="L2164" s="340"/>
      <c r="P2164" s="340"/>
      <c r="U2164" s="340"/>
      <c r="V2164" s="340"/>
      <c r="Z2164" s="340"/>
      <c r="AE2164" s="340"/>
      <c r="AI2164" s="340"/>
      <c r="AN2164" s="340"/>
      <c r="AO2164" s="340"/>
      <c r="AS2164" s="340"/>
      <c r="AX2164" s="340"/>
      <c r="BB2164" s="340"/>
      <c r="BD2164" s="339"/>
    </row>
    <row r="2165" spans="7:56" s="338" customFormat="1">
      <c r="G2165" s="340"/>
      <c r="L2165" s="340"/>
      <c r="P2165" s="340"/>
      <c r="U2165" s="340"/>
      <c r="V2165" s="340"/>
      <c r="Z2165" s="340"/>
      <c r="AE2165" s="340"/>
      <c r="AI2165" s="340"/>
      <c r="AN2165" s="340"/>
      <c r="AO2165" s="340"/>
      <c r="AS2165" s="340"/>
      <c r="AX2165" s="340"/>
      <c r="BB2165" s="340"/>
      <c r="BD2165" s="339"/>
    </row>
    <row r="2166" spans="7:56" s="338" customFormat="1">
      <c r="G2166" s="340"/>
      <c r="L2166" s="340"/>
      <c r="P2166" s="340"/>
      <c r="U2166" s="340"/>
      <c r="V2166" s="340"/>
      <c r="Z2166" s="340"/>
      <c r="AE2166" s="340"/>
      <c r="AI2166" s="340"/>
      <c r="AN2166" s="340"/>
      <c r="AO2166" s="340"/>
      <c r="AS2166" s="340"/>
      <c r="AX2166" s="340"/>
      <c r="BB2166" s="340"/>
      <c r="BD2166" s="339"/>
    </row>
    <row r="2167" spans="7:56" s="338" customFormat="1">
      <c r="G2167" s="340"/>
      <c r="L2167" s="340"/>
      <c r="P2167" s="340"/>
      <c r="U2167" s="340"/>
      <c r="V2167" s="340"/>
      <c r="Z2167" s="340"/>
      <c r="AE2167" s="340"/>
      <c r="AI2167" s="340"/>
      <c r="AN2167" s="340"/>
      <c r="AO2167" s="340"/>
      <c r="AS2167" s="340"/>
      <c r="AX2167" s="340"/>
      <c r="BB2167" s="340"/>
      <c r="BD2167" s="339"/>
    </row>
    <row r="2168" spans="7:56" s="338" customFormat="1">
      <c r="G2168" s="340"/>
      <c r="L2168" s="340"/>
      <c r="P2168" s="340"/>
      <c r="U2168" s="340"/>
      <c r="V2168" s="340"/>
      <c r="Z2168" s="340"/>
      <c r="AE2168" s="340"/>
      <c r="AI2168" s="340"/>
      <c r="AN2168" s="340"/>
      <c r="AO2168" s="340"/>
      <c r="AS2168" s="340"/>
      <c r="AX2168" s="340"/>
      <c r="BB2168" s="340"/>
      <c r="BD2168" s="339"/>
    </row>
    <row r="2169" spans="7:56" s="338" customFormat="1">
      <c r="G2169" s="340"/>
      <c r="L2169" s="340"/>
      <c r="P2169" s="340"/>
      <c r="U2169" s="340"/>
      <c r="V2169" s="340"/>
      <c r="Z2169" s="340"/>
      <c r="AE2169" s="340"/>
      <c r="AI2169" s="340"/>
      <c r="AN2169" s="340"/>
      <c r="AO2169" s="340"/>
      <c r="AS2169" s="340"/>
      <c r="AX2169" s="340"/>
      <c r="BB2169" s="340"/>
      <c r="BD2169" s="339"/>
    </row>
    <row r="2170" spans="7:56" s="338" customFormat="1">
      <c r="G2170" s="340"/>
      <c r="L2170" s="340"/>
      <c r="P2170" s="340"/>
      <c r="U2170" s="340"/>
      <c r="V2170" s="340"/>
      <c r="Z2170" s="340"/>
      <c r="AE2170" s="340"/>
      <c r="AI2170" s="340"/>
      <c r="AN2170" s="340"/>
      <c r="AO2170" s="340"/>
      <c r="AS2170" s="340"/>
      <c r="AX2170" s="340"/>
      <c r="BB2170" s="340"/>
      <c r="BD2170" s="339"/>
    </row>
    <row r="2171" spans="7:56" s="338" customFormat="1">
      <c r="G2171" s="340"/>
      <c r="L2171" s="340"/>
      <c r="P2171" s="340"/>
      <c r="U2171" s="340"/>
      <c r="V2171" s="340"/>
      <c r="Z2171" s="340"/>
      <c r="AE2171" s="340"/>
      <c r="AI2171" s="340"/>
      <c r="AN2171" s="340"/>
      <c r="AO2171" s="340"/>
      <c r="AS2171" s="340"/>
      <c r="AX2171" s="340"/>
      <c r="BB2171" s="340"/>
      <c r="BD2171" s="339"/>
    </row>
    <row r="2172" spans="7:56" s="338" customFormat="1">
      <c r="G2172" s="340"/>
      <c r="L2172" s="340"/>
      <c r="P2172" s="340"/>
      <c r="U2172" s="340"/>
      <c r="V2172" s="340"/>
      <c r="Z2172" s="340"/>
      <c r="AE2172" s="340"/>
      <c r="AI2172" s="340"/>
      <c r="AN2172" s="340"/>
      <c r="AO2172" s="340"/>
      <c r="AS2172" s="340"/>
      <c r="AX2172" s="340"/>
      <c r="BB2172" s="340"/>
      <c r="BD2172" s="339"/>
    </row>
    <row r="2173" spans="7:56" s="338" customFormat="1">
      <c r="G2173" s="340"/>
      <c r="L2173" s="340"/>
      <c r="P2173" s="340"/>
      <c r="U2173" s="340"/>
      <c r="V2173" s="340"/>
      <c r="Z2173" s="340"/>
      <c r="AE2173" s="340"/>
      <c r="AI2173" s="340"/>
      <c r="AN2173" s="340"/>
      <c r="AO2173" s="340"/>
      <c r="AS2173" s="340"/>
      <c r="AX2173" s="340"/>
      <c r="BB2173" s="340"/>
      <c r="BD2173" s="339"/>
    </row>
    <row r="2174" spans="7:56" s="338" customFormat="1">
      <c r="G2174" s="340"/>
      <c r="L2174" s="340"/>
      <c r="P2174" s="340"/>
      <c r="U2174" s="340"/>
      <c r="V2174" s="340"/>
      <c r="Z2174" s="340"/>
      <c r="AE2174" s="340"/>
      <c r="AI2174" s="340"/>
      <c r="AN2174" s="340"/>
      <c r="AO2174" s="340"/>
      <c r="AS2174" s="340"/>
      <c r="AX2174" s="340"/>
      <c r="BB2174" s="340"/>
      <c r="BD2174" s="339"/>
    </row>
    <row r="2175" spans="7:56" s="338" customFormat="1">
      <c r="G2175" s="340"/>
      <c r="L2175" s="340"/>
      <c r="P2175" s="340"/>
      <c r="U2175" s="340"/>
      <c r="V2175" s="340"/>
      <c r="Z2175" s="340"/>
      <c r="AE2175" s="340"/>
      <c r="AI2175" s="340"/>
      <c r="AN2175" s="340"/>
      <c r="AO2175" s="340"/>
      <c r="AS2175" s="340"/>
      <c r="AX2175" s="340"/>
      <c r="BB2175" s="340"/>
      <c r="BD2175" s="339"/>
    </row>
    <row r="2176" spans="7:56" s="338" customFormat="1">
      <c r="G2176" s="340"/>
      <c r="L2176" s="340"/>
      <c r="P2176" s="340"/>
      <c r="U2176" s="340"/>
      <c r="V2176" s="340"/>
      <c r="Z2176" s="340"/>
      <c r="AE2176" s="340"/>
      <c r="AI2176" s="340"/>
      <c r="AN2176" s="340"/>
      <c r="AO2176" s="340"/>
      <c r="AS2176" s="340"/>
      <c r="AX2176" s="340"/>
      <c r="BB2176" s="340"/>
      <c r="BD2176" s="339"/>
    </row>
    <row r="2177" spans="7:56" s="338" customFormat="1">
      <c r="G2177" s="340"/>
      <c r="L2177" s="340"/>
      <c r="P2177" s="340"/>
      <c r="U2177" s="340"/>
      <c r="V2177" s="340"/>
      <c r="Z2177" s="340"/>
      <c r="AE2177" s="340"/>
      <c r="AI2177" s="340"/>
      <c r="AN2177" s="340"/>
      <c r="AO2177" s="340"/>
      <c r="AS2177" s="340"/>
      <c r="AX2177" s="340"/>
      <c r="BB2177" s="340"/>
      <c r="BD2177" s="339"/>
    </row>
    <row r="2178" spans="7:56" s="338" customFormat="1">
      <c r="G2178" s="340"/>
      <c r="L2178" s="340"/>
      <c r="P2178" s="340"/>
      <c r="U2178" s="340"/>
      <c r="V2178" s="340"/>
      <c r="Z2178" s="340"/>
      <c r="AE2178" s="340"/>
      <c r="AI2178" s="340"/>
      <c r="AN2178" s="340"/>
      <c r="AO2178" s="340"/>
      <c r="AS2178" s="340"/>
      <c r="AX2178" s="340"/>
      <c r="BB2178" s="340"/>
      <c r="BD2178" s="339"/>
    </row>
    <row r="2179" spans="7:56" s="338" customFormat="1">
      <c r="G2179" s="340"/>
      <c r="L2179" s="340"/>
      <c r="P2179" s="340"/>
      <c r="U2179" s="340"/>
      <c r="V2179" s="340"/>
      <c r="Z2179" s="340"/>
      <c r="AE2179" s="340"/>
      <c r="AI2179" s="340"/>
      <c r="AN2179" s="340"/>
      <c r="AO2179" s="340"/>
      <c r="AS2179" s="340"/>
      <c r="AX2179" s="340"/>
      <c r="BB2179" s="340"/>
      <c r="BD2179" s="339"/>
    </row>
    <row r="2180" spans="7:56" s="338" customFormat="1">
      <c r="G2180" s="340"/>
      <c r="L2180" s="340"/>
      <c r="P2180" s="340"/>
      <c r="U2180" s="340"/>
      <c r="V2180" s="340"/>
      <c r="Z2180" s="340"/>
      <c r="AE2180" s="340"/>
      <c r="AI2180" s="340"/>
      <c r="AN2180" s="340"/>
      <c r="AO2180" s="340"/>
      <c r="AS2180" s="340"/>
      <c r="AX2180" s="340"/>
      <c r="BB2180" s="340"/>
      <c r="BD2180" s="339"/>
    </row>
    <row r="2181" spans="7:56" s="338" customFormat="1">
      <c r="G2181" s="340"/>
      <c r="L2181" s="340"/>
      <c r="P2181" s="340"/>
      <c r="U2181" s="340"/>
      <c r="V2181" s="340"/>
      <c r="Z2181" s="340"/>
      <c r="AE2181" s="340"/>
      <c r="AI2181" s="340"/>
      <c r="AN2181" s="340"/>
      <c r="AO2181" s="340"/>
      <c r="AS2181" s="340"/>
      <c r="AX2181" s="340"/>
      <c r="BB2181" s="340"/>
      <c r="BD2181" s="339"/>
    </row>
    <row r="2182" spans="7:56" s="338" customFormat="1">
      <c r="G2182" s="340"/>
      <c r="L2182" s="340"/>
      <c r="P2182" s="340"/>
      <c r="U2182" s="340"/>
      <c r="V2182" s="340"/>
      <c r="Z2182" s="340"/>
      <c r="AE2182" s="340"/>
      <c r="AI2182" s="340"/>
      <c r="AN2182" s="340"/>
      <c r="AO2182" s="340"/>
      <c r="AS2182" s="340"/>
      <c r="AX2182" s="340"/>
      <c r="BB2182" s="340"/>
      <c r="BD2182" s="339"/>
    </row>
    <row r="2183" spans="7:56" s="338" customFormat="1">
      <c r="G2183" s="340"/>
      <c r="L2183" s="340"/>
      <c r="P2183" s="340"/>
      <c r="U2183" s="340"/>
      <c r="V2183" s="340"/>
      <c r="Z2183" s="340"/>
      <c r="AE2183" s="340"/>
      <c r="AI2183" s="340"/>
      <c r="AN2183" s="340"/>
      <c r="AO2183" s="340"/>
      <c r="AS2183" s="340"/>
      <c r="AX2183" s="340"/>
      <c r="BB2183" s="340"/>
      <c r="BD2183" s="339"/>
    </row>
    <row r="2184" spans="7:56" s="338" customFormat="1">
      <c r="G2184" s="340"/>
      <c r="L2184" s="340"/>
      <c r="P2184" s="340"/>
      <c r="U2184" s="340"/>
      <c r="V2184" s="340"/>
      <c r="Z2184" s="340"/>
      <c r="AE2184" s="340"/>
      <c r="AI2184" s="340"/>
      <c r="AN2184" s="340"/>
      <c r="AO2184" s="340"/>
      <c r="AS2184" s="340"/>
      <c r="AX2184" s="340"/>
      <c r="BB2184" s="340"/>
      <c r="BD2184" s="339"/>
    </row>
    <row r="2185" spans="7:56" s="338" customFormat="1">
      <c r="G2185" s="340"/>
      <c r="L2185" s="340"/>
      <c r="P2185" s="340"/>
      <c r="U2185" s="340"/>
      <c r="V2185" s="340"/>
      <c r="Z2185" s="340"/>
      <c r="AE2185" s="340"/>
      <c r="AI2185" s="340"/>
      <c r="AN2185" s="340"/>
      <c r="AO2185" s="340"/>
      <c r="AS2185" s="340"/>
      <c r="AX2185" s="340"/>
      <c r="BB2185" s="340"/>
      <c r="BD2185" s="339"/>
    </row>
    <row r="2186" spans="7:56" s="338" customFormat="1">
      <c r="G2186" s="340"/>
      <c r="L2186" s="340"/>
      <c r="P2186" s="340"/>
      <c r="U2186" s="340"/>
      <c r="V2186" s="340"/>
      <c r="Z2186" s="340"/>
      <c r="AE2186" s="340"/>
      <c r="AI2186" s="340"/>
      <c r="AN2186" s="340"/>
      <c r="AO2186" s="340"/>
      <c r="AS2186" s="340"/>
      <c r="AX2186" s="340"/>
      <c r="BB2186" s="340"/>
      <c r="BD2186" s="339"/>
    </row>
    <row r="2187" spans="7:56" s="338" customFormat="1">
      <c r="G2187" s="340"/>
      <c r="L2187" s="340"/>
      <c r="P2187" s="340"/>
      <c r="U2187" s="340"/>
      <c r="V2187" s="340"/>
      <c r="Z2187" s="340"/>
      <c r="AE2187" s="340"/>
      <c r="AI2187" s="340"/>
      <c r="AN2187" s="340"/>
      <c r="AO2187" s="340"/>
      <c r="AS2187" s="340"/>
      <c r="AX2187" s="340"/>
      <c r="BB2187" s="340"/>
      <c r="BD2187" s="339"/>
    </row>
    <row r="2188" spans="7:56" s="338" customFormat="1">
      <c r="G2188" s="340"/>
      <c r="L2188" s="340"/>
      <c r="P2188" s="340"/>
      <c r="U2188" s="340"/>
      <c r="V2188" s="340"/>
      <c r="Z2188" s="340"/>
      <c r="AE2188" s="340"/>
      <c r="AI2188" s="340"/>
      <c r="AN2188" s="340"/>
      <c r="AO2188" s="340"/>
      <c r="AS2188" s="340"/>
      <c r="AX2188" s="340"/>
      <c r="BB2188" s="340"/>
      <c r="BD2188" s="339"/>
    </row>
    <row r="2189" spans="7:56" s="338" customFormat="1">
      <c r="G2189" s="340"/>
      <c r="L2189" s="340"/>
      <c r="P2189" s="340"/>
      <c r="U2189" s="340"/>
      <c r="V2189" s="340"/>
      <c r="Z2189" s="340"/>
      <c r="AE2189" s="340"/>
      <c r="AI2189" s="340"/>
      <c r="AN2189" s="340"/>
      <c r="AO2189" s="340"/>
      <c r="AS2189" s="340"/>
      <c r="AX2189" s="340"/>
      <c r="BB2189" s="340"/>
      <c r="BD2189" s="339"/>
    </row>
    <row r="2190" spans="7:56" s="338" customFormat="1">
      <c r="G2190" s="340"/>
      <c r="L2190" s="340"/>
      <c r="P2190" s="340"/>
      <c r="U2190" s="340"/>
      <c r="V2190" s="340"/>
      <c r="Z2190" s="340"/>
      <c r="AE2190" s="340"/>
      <c r="AI2190" s="340"/>
      <c r="AN2190" s="340"/>
      <c r="AO2190" s="340"/>
      <c r="AS2190" s="340"/>
      <c r="AX2190" s="340"/>
      <c r="BB2190" s="340"/>
      <c r="BD2190" s="339"/>
    </row>
    <row r="2191" spans="7:56" s="338" customFormat="1">
      <c r="G2191" s="340"/>
      <c r="L2191" s="340"/>
      <c r="P2191" s="340"/>
      <c r="U2191" s="340"/>
      <c r="V2191" s="340"/>
      <c r="Z2191" s="340"/>
      <c r="AE2191" s="340"/>
      <c r="AI2191" s="340"/>
      <c r="AN2191" s="340"/>
      <c r="AO2191" s="340"/>
      <c r="AS2191" s="340"/>
      <c r="AX2191" s="340"/>
      <c r="BB2191" s="340"/>
      <c r="BD2191" s="339"/>
    </row>
    <row r="2192" spans="7:56" s="338" customFormat="1">
      <c r="G2192" s="340"/>
      <c r="L2192" s="340"/>
      <c r="P2192" s="340"/>
      <c r="U2192" s="340"/>
      <c r="V2192" s="340"/>
      <c r="Z2192" s="340"/>
      <c r="AE2192" s="340"/>
      <c r="AI2192" s="340"/>
      <c r="AN2192" s="340"/>
      <c r="AO2192" s="340"/>
      <c r="AS2192" s="340"/>
      <c r="AX2192" s="340"/>
      <c r="BB2192" s="340"/>
      <c r="BD2192" s="339"/>
    </row>
    <row r="2193" spans="7:56" s="338" customFormat="1">
      <c r="G2193" s="340"/>
      <c r="L2193" s="340"/>
      <c r="P2193" s="340"/>
      <c r="U2193" s="340"/>
      <c r="V2193" s="340"/>
      <c r="Z2193" s="340"/>
      <c r="AE2193" s="340"/>
      <c r="AI2193" s="340"/>
      <c r="AN2193" s="340"/>
      <c r="AO2193" s="340"/>
      <c r="AS2193" s="340"/>
      <c r="AX2193" s="340"/>
      <c r="BB2193" s="340"/>
      <c r="BD2193" s="339"/>
    </row>
    <row r="2194" spans="7:56" s="338" customFormat="1">
      <c r="G2194" s="340"/>
      <c r="L2194" s="340"/>
      <c r="P2194" s="340"/>
      <c r="U2194" s="340"/>
      <c r="V2194" s="340"/>
      <c r="Z2194" s="340"/>
      <c r="AE2194" s="340"/>
      <c r="AI2194" s="340"/>
      <c r="AN2194" s="340"/>
      <c r="AO2194" s="340"/>
      <c r="AS2194" s="340"/>
      <c r="AX2194" s="340"/>
      <c r="BB2194" s="340"/>
      <c r="BD2194" s="339"/>
    </row>
    <row r="2195" spans="7:56" s="338" customFormat="1">
      <c r="G2195" s="340"/>
      <c r="L2195" s="340"/>
      <c r="P2195" s="340"/>
      <c r="U2195" s="340"/>
      <c r="V2195" s="340"/>
      <c r="Z2195" s="340"/>
      <c r="AE2195" s="340"/>
      <c r="AI2195" s="340"/>
      <c r="AN2195" s="340"/>
      <c r="AO2195" s="340"/>
      <c r="AS2195" s="340"/>
      <c r="AX2195" s="340"/>
      <c r="BB2195" s="340"/>
      <c r="BD2195" s="339"/>
    </row>
    <row r="2196" spans="7:56" s="338" customFormat="1">
      <c r="G2196" s="340"/>
      <c r="L2196" s="340"/>
      <c r="P2196" s="340"/>
      <c r="U2196" s="340"/>
      <c r="V2196" s="340"/>
      <c r="Z2196" s="340"/>
      <c r="AE2196" s="340"/>
      <c r="AI2196" s="340"/>
      <c r="AN2196" s="340"/>
      <c r="AO2196" s="340"/>
      <c r="AS2196" s="340"/>
      <c r="AX2196" s="340"/>
      <c r="BB2196" s="340"/>
      <c r="BD2196" s="339"/>
    </row>
    <row r="2197" spans="7:56" s="338" customFormat="1">
      <c r="G2197" s="340"/>
      <c r="L2197" s="340"/>
      <c r="P2197" s="340"/>
      <c r="U2197" s="340"/>
      <c r="V2197" s="340"/>
      <c r="Z2197" s="340"/>
      <c r="AE2197" s="340"/>
      <c r="AI2197" s="340"/>
      <c r="AN2197" s="340"/>
      <c r="AO2197" s="340"/>
      <c r="AS2197" s="340"/>
      <c r="AX2197" s="340"/>
      <c r="BB2197" s="340"/>
      <c r="BD2197" s="339"/>
    </row>
    <row r="2198" spans="7:56" s="338" customFormat="1">
      <c r="G2198" s="340"/>
      <c r="L2198" s="340"/>
      <c r="P2198" s="340"/>
      <c r="U2198" s="340"/>
      <c r="V2198" s="340"/>
      <c r="Z2198" s="340"/>
      <c r="AE2198" s="340"/>
      <c r="AI2198" s="340"/>
      <c r="AN2198" s="340"/>
      <c r="AO2198" s="340"/>
      <c r="AS2198" s="340"/>
      <c r="AX2198" s="340"/>
      <c r="BB2198" s="340"/>
      <c r="BD2198" s="339"/>
    </row>
    <row r="2199" spans="7:56" s="338" customFormat="1">
      <c r="G2199" s="340"/>
      <c r="L2199" s="340"/>
      <c r="P2199" s="340"/>
      <c r="U2199" s="340"/>
      <c r="V2199" s="340"/>
      <c r="Z2199" s="340"/>
      <c r="AE2199" s="340"/>
      <c r="AI2199" s="340"/>
      <c r="AN2199" s="340"/>
      <c r="AO2199" s="340"/>
      <c r="AS2199" s="340"/>
      <c r="AX2199" s="340"/>
      <c r="BB2199" s="340"/>
      <c r="BD2199" s="339"/>
    </row>
    <row r="2200" spans="7:56" s="338" customFormat="1">
      <c r="G2200" s="340"/>
      <c r="L2200" s="340"/>
      <c r="P2200" s="340"/>
      <c r="U2200" s="340"/>
      <c r="V2200" s="340"/>
      <c r="Z2200" s="340"/>
      <c r="AE2200" s="340"/>
      <c r="AI2200" s="340"/>
      <c r="AN2200" s="340"/>
      <c r="AO2200" s="340"/>
      <c r="AS2200" s="340"/>
      <c r="AX2200" s="340"/>
      <c r="BB2200" s="340"/>
      <c r="BD2200" s="339"/>
    </row>
    <row r="2201" spans="7:56" s="338" customFormat="1">
      <c r="G2201" s="340"/>
      <c r="L2201" s="340"/>
      <c r="P2201" s="340"/>
      <c r="U2201" s="340"/>
      <c r="V2201" s="340"/>
      <c r="Z2201" s="340"/>
      <c r="AE2201" s="340"/>
      <c r="AI2201" s="340"/>
      <c r="AN2201" s="340"/>
      <c r="AO2201" s="340"/>
      <c r="AS2201" s="340"/>
      <c r="AX2201" s="340"/>
      <c r="BB2201" s="340"/>
      <c r="BD2201" s="339"/>
    </row>
    <row r="2202" spans="7:56" s="338" customFormat="1">
      <c r="G2202" s="340"/>
      <c r="L2202" s="340"/>
      <c r="P2202" s="340"/>
      <c r="U2202" s="340"/>
      <c r="V2202" s="340"/>
      <c r="Z2202" s="340"/>
      <c r="AE2202" s="340"/>
      <c r="AI2202" s="340"/>
      <c r="AN2202" s="340"/>
      <c r="AO2202" s="340"/>
      <c r="AS2202" s="340"/>
      <c r="AX2202" s="340"/>
      <c r="BB2202" s="340"/>
      <c r="BD2202" s="339"/>
    </row>
    <row r="2203" spans="7:56" s="338" customFormat="1">
      <c r="G2203" s="340"/>
      <c r="L2203" s="340"/>
      <c r="P2203" s="340"/>
      <c r="U2203" s="340"/>
      <c r="V2203" s="340"/>
      <c r="Z2203" s="340"/>
      <c r="AE2203" s="340"/>
      <c r="AI2203" s="340"/>
      <c r="AN2203" s="340"/>
      <c r="AO2203" s="340"/>
      <c r="AS2203" s="340"/>
      <c r="AX2203" s="340"/>
      <c r="BB2203" s="340"/>
      <c r="BD2203" s="339"/>
    </row>
    <row r="2204" spans="7:56" s="338" customFormat="1">
      <c r="G2204" s="340"/>
      <c r="L2204" s="340"/>
      <c r="P2204" s="340"/>
      <c r="U2204" s="340"/>
      <c r="V2204" s="340"/>
      <c r="Z2204" s="340"/>
      <c r="AE2204" s="340"/>
      <c r="AI2204" s="340"/>
      <c r="AN2204" s="340"/>
      <c r="AO2204" s="340"/>
      <c r="AS2204" s="340"/>
      <c r="AX2204" s="340"/>
      <c r="BB2204" s="340"/>
      <c r="BD2204" s="339"/>
    </row>
    <row r="2205" spans="7:56" s="338" customFormat="1">
      <c r="G2205" s="340"/>
      <c r="L2205" s="340"/>
      <c r="P2205" s="340"/>
      <c r="U2205" s="340"/>
      <c r="V2205" s="340"/>
      <c r="Z2205" s="340"/>
      <c r="AE2205" s="340"/>
      <c r="AI2205" s="340"/>
      <c r="AN2205" s="340"/>
      <c r="AO2205" s="340"/>
      <c r="AS2205" s="340"/>
      <c r="AX2205" s="340"/>
      <c r="BB2205" s="340"/>
      <c r="BD2205" s="339"/>
    </row>
    <row r="2206" spans="7:56" s="338" customFormat="1">
      <c r="G2206" s="340"/>
      <c r="L2206" s="340"/>
      <c r="P2206" s="340"/>
      <c r="U2206" s="340"/>
      <c r="V2206" s="340"/>
      <c r="Z2206" s="340"/>
      <c r="AE2206" s="340"/>
      <c r="AI2206" s="340"/>
      <c r="AN2206" s="340"/>
      <c r="AO2206" s="340"/>
      <c r="AS2206" s="340"/>
      <c r="AX2206" s="340"/>
      <c r="BB2206" s="340"/>
      <c r="BD2206" s="339"/>
    </row>
    <row r="2207" spans="7:56" s="338" customFormat="1">
      <c r="G2207" s="340"/>
      <c r="L2207" s="340"/>
      <c r="P2207" s="340"/>
      <c r="U2207" s="340"/>
      <c r="V2207" s="340"/>
      <c r="Z2207" s="340"/>
      <c r="AE2207" s="340"/>
      <c r="AI2207" s="340"/>
      <c r="AN2207" s="340"/>
      <c r="AO2207" s="340"/>
      <c r="AS2207" s="340"/>
      <c r="AX2207" s="340"/>
      <c r="BB2207" s="340"/>
      <c r="BD2207" s="339"/>
    </row>
    <row r="2208" spans="7:56" s="338" customFormat="1">
      <c r="G2208" s="340"/>
      <c r="L2208" s="340"/>
      <c r="P2208" s="340"/>
      <c r="U2208" s="340"/>
      <c r="V2208" s="340"/>
      <c r="Z2208" s="340"/>
      <c r="AE2208" s="340"/>
      <c r="AI2208" s="340"/>
      <c r="AN2208" s="340"/>
      <c r="AO2208" s="340"/>
      <c r="AS2208" s="340"/>
      <c r="AX2208" s="340"/>
      <c r="BB2208" s="340"/>
      <c r="BD2208" s="339"/>
    </row>
    <row r="2209" spans="7:56" s="338" customFormat="1">
      <c r="G2209" s="340"/>
      <c r="L2209" s="340"/>
      <c r="P2209" s="340"/>
      <c r="U2209" s="340"/>
      <c r="V2209" s="340"/>
      <c r="Z2209" s="340"/>
      <c r="AE2209" s="340"/>
      <c r="AI2209" s="340"/>
      <c r="AN2209" s="340"/>
      <c r="AO2209" s="340"/>
      <c r="AS2209" s="340"/>
      <c r="AX2209" s="340"/>
      <c r="BB2209" s="340"/>
      <c r="BD2209" s="339"/>
    </row>
    <row r="2210" spans="7:56" s="338" customFormat="1">
      <c r="G2210" s="340"/>
      <c r="L2210" s="340"/>
      <c r="P2210" s="340"/>
      <c r="U2210" s="340"/>
      <c r="V2210" s="340"/>
      <c r="Z2210" s="340"/>
      <c r="AE2210" s="340"/>
      <c r="AI2210" s="340"/>
      <c r="AN2210" s="340"/>
      <c r="AO2210" s="340"/>
      <c r="AS2210" s="340"/>
      <c r="AX2210" s="340"/>
      <c r="BB2210" s="340"/>
      <c r="BD2210" s="339"/>
    </row>
    <row r="2211" spans="7:56" s="338" customFormat="1">
      <c r="G2211" s="340"/>
      <c r="L2211" s="340"/>
      <c r="P2211" s="340"/>
      <c r="U2211" s="340"/>
      <c r="V2211" s="340"/>
      <c r="Z2211" s="340"/>
      <c r="AE2211" s="340"/>
      <c r="AI2211" s="340"/>
      <c r="AN2211" s="340"/>
      <c r="AO2211" s="340"/>
      <c r="AS2211" s="340"/>
      <c r="AX2211" s="340"/>
      <c r="BB2211" s="340"/>
      <c r="BD2211" s="339"/>
    </row>
    <row r="2212" spans="7:56" s="338" customFormat="1">
      <c r="G2212" s="340"/>
      <c r="L2212" s="340"/>
      <c r="P2212" s="340"/>
      <c r="U2212" s="340"/>
      <c r="V2212" s="340"/>
      <c r="Z2212" s="340"/>
      <c r="AE2212" s="340"/>
      <c r="AI2212" s="340"/>
      <c r="AN2212" s="340"/>
      <c r="AO2212" s="340"/>
      <c r="AS2212" s="340"/>
      <c r="AX2212" s="340"/>
      <c r="BB2212" s="340"/>
      <c r="BD2212" s="339"/>
    </row>
    <row r="2213" spans="7:56" s="338" customFormat="1">
      <c r="G2213" s="340"/>
      <c r="L2213" s="340"/>
      <c r="P2213" s="340"/>
      <c r="U2213" s="340"/>
      <c r="V2213" s="340"/>
      <c r="Z2213" s="340"/>
      <c r="AE2213" s="340"/>
      <c r="AI2213" s="340"/>
      <c r="AN2213" s="340"/>
      <c r="AO2213" s="340"/>
      <c r="AS2213" s="340"/>
      <c r="AX2213" s="340"/>
      <c r="BB2213" s="340"/>
      <c r="BD2213" s="339"/>
    </row>
    <row r="2214" spans="7:56" s="338" customFormat="1">
      <c r="G2214" s="340"/>
      <c r="L2214" s="340"/>
      <c r="P2214" s="340"/>
      <c r="U2214" s="340"/>
      <c r="V2214" s="340"/>
      <c r="Z2214" s="340"/>
      <c r="AE2214" s="340"/>
      <c r="AI2214" s="340"/>
      <c r="AN2214" s="340"/>
      <c r="AO2214" s="340"/>
      <c r="AS2214" s="340"/>
      <c r="AX2214" s="340"/>
      <c r="BB2214" s="340"/>
      <c r="BD2214" s="339"/>
    </row>
    <row r="2215" spans="7:56" s="338" customFormat="1">
      <c r="G2215" s="340"/>
      <c r="L2215" s="340"/>
      <c r="P2215" s="340"/>
      <c r="U2215" s="340"/>
      <c r="V2215" s="340"/>
      <c r="Z2215" s="340"/>
      <c r="AE2215" s="340"/>
      <c r="AI2215" s="340"/>
      <c r="AN2215" s="340"/>
      <c r="AO2215" s="340"/>
      <c r="AS2215" s="340"/>
      <c r="AX2215" s="340"/>
      <c r="BB2215" s="340"/>
      <c r="BD2215" s="339"/>
    </row>
    <row r="2216" spans="7:56" s="338" customFormat="1">
      <c r="G2216" s="340"/>
      <c r="L2216" s="340"/>
      <c r="P2216" s="340"/>
      <c r="U2216" s="340"/>
      <c r="V2216" s="340"/>
      <c r="Z2216" s="340"/>
      <c r="AE2216" s="340"/>
      <c r="AI2216" s="340"/>
      <c r="AN2216" s="340"/>
      <c r="AO2216" s="340"/>
      <c r="AS2216" s="340"/>
      <c r="AX2216" s="340"/>
      <c r="BB2216" s="340"/>
      <c r="BD2216" s="339"/>
    </row>
    <row r="2217" spans="7:56" s="338" customFormat="1">
      <c r="G2217" s="340"/>
      <c r="L2217" s="340"/>
      <c r="P2217" s="340"/>
      <c r="U2217" s="340"/>
      <c r="V2217" s="340"/>
      <c r="Z2217" s="340"/>
      <c r="AE2217" s="340"/>
      <c r="AI2217" s="340"/>
      <c r="AN2217" s="340"/>
      <c r="AO2217" s="340"/>
      <c r="AS2217" s="340"/>
      <c r="AX2217" s="340"/>
      <c r="BB2217" s="340"/>
      <c r="BD2217" s="339"/>
    </row>
    <row r="2218" spans="7:56" s="338" customFormat="1">
      <c r="G2218" s="340"/>
      <c r="L2218" s="340"/>
      <c r="P2218" s="340"/>
      <c r="U2218" s="340"/>
      <c r="V2218" s="340"/>
      <c r="Z2218" s="340"/>
      <c r="AE2218" s="340"/>
      <c r="AI2218" s="340"/>
      <c r="AN2218" s="340"/>
      <c r="AO2218" s="340"/>
      <c r="AS2218" s="340"/>
      <c r="AX2218" s="340"/>
      <c r="BB2218" s="340"/>
      <c r="BD2218" s="339"/>
    </row>
    <row r="2219" spans="7:56" s="338" customFormat="1">
      <c r="G2219" s="340"/>
      <c r="L2219" s="340"/>
      <c r="P2219" s="340"/>
      <c r="U2219" s="340"/>
      <c r="V2219" s="340"/>
      <c r="Z2219" s="340"/>
      <c r="AE2219" s="340"/>
      <c r="AI2219" s="340"/>
      <c r="AN2219" s="340"/>
      <c r="AO2219" s="340"/>
      <c r="AS2219" s="340"/>
      <c r="AX2219" s="340"/>
      <c r="BB2219" s="340"/>
      <c r="BD2219" s="339"/>
    </row>
    <row r="2220" spans="7:56" s="338" customFormat="1">
      <c r="G2220" s="340"/>
      <c r="L2220" s="340"/>
      <c r="P2220" s="340"/>
      <c r="U2220" s="340"/>
      <c r="V2220" s="340"/>
      <c r="Z2220" s="340"/>
      <c r="AE2220" s="340"/>
      <c r="AI2220" s="340"/>
      <c r="AN2220" s="340"/>
      <c r="AO2220" s="340"/>
      <c r="AS2220" s="340"/>
      <c r="AX2220" s="340"/>
      <c r="BB2220" s="340"/>
      <c r="BD2220" s="339"/>
    </row>
    <row r="2221" spans="7:56" s="338" customFormat="1">
      <c r="G2221" s="340"/>
      <c r="L2221" s="340"/>
      <c r="P2221" s="340"/>
      <c r="U2221" s="340"/>
      <c r="V2221" s="340"/>
      <c r="Z2221" s="340"/>
      <c r="AE2221" s="340"/>
      <c r="AI2221" s="340"/>
      <c r="AN2221" s="340"/>
      <c r="AO2221" s="340"/>
      <c r="AS2221" s="340"/>
      <c r="AX2221" s="340"/>
      <c r="BB2221" s="340"/>
      <c r="BD2221" s="339"/>
    </row>
    <row r="2222" spans="7:56" s="338" customFormat="1">
      <c r="G2222" s="340"/>
      <c r="L2222" s="340"/>
      <c r="P2222" s="340"/>
      <c r="U2222" s="340"/>
      <c r="V2222" s="340"/>
      <c r="Z2222" s="340"/>
      <c r="AE2222" s="340"/>
      <c r="AI2222" s="340"/>
      <c r="AN2222" s="340"/>
      <c r="AO2222" s="340"/>
      <c r="AS2222" s="340"/>
      <c r="AX2222" s="340"/>
      <c r="BB2222" s="340"/>
      <c r="BD2222" s="339"/>
    </row>
    <row r="2223" spans="7:56" s="338" customFormat="1">
      <c r="G2223" s="340"/>
      <c r="L2223" s="340"/>
      <c r="P2223" s="340"/>
      <c r="U2223" s="340"/>
      <c r="V2223" s="340"/>
      <c r="Z2223" s="340"/>
      <c r="AE2223" s="340"/>
      <c r="AI2223" s="340"/>
      <c r="AN2223" s="340"/>
      <c r="AO2223" s="340"/>
      <c r="AS2223" s="340"/>
      <c r="AX2223" s="340"/>
      <c r="BB2223" s="340"/>
      <c r="BD2223" s="339"/>
    </row>
    <row r="2224" spans="7:56" s="338" customFormat="1">
      <c r="G2224" s="340"/>
      <c r="L2224" s="340"/>
      <c r="P2224" s="340"/>
      <c r="U2224" s="340"/>
      <c r="V2224" s="340"/>
      <c r="Z2224" s="340"/>
      <c r="AE2224" s="340"/>
      <c r="AI2224" s="340"/>
      <c r="AN2224" s="340"/>
      <c r="AO2224" s="340"/>
      <c r="AS2224" s="340"/>
      <c r="AX2224" s="340"/>
      <c r="BB2224" s="340"/>
      <c r="BD2224" s="339"/>
    </row>
    <row r="2225" spans="7:56" s="338" customFormat="1">
      <c r="G2225" s="340"/>
      <c r="L2225" s="340"/>
      <c r="P2225" s="340"/>
      <c r="U2225" s="340"/>
      <c r="V2225" s="340"/>
      <c r="Z2225" s="340"/>
      <c r="AE2225" s="340"/>
      <c r="AI2225" s="340"/>
      <c r="AN2225" s="340"/>
      <c r="AO2225" s="340"/>
      <c r="AS2225" s="340"/>
      <c r="AX2225" s="340"/>
      <c r="BB2225" s="340"/>
      <c r="BD2225" s="339"/>
    </row>
    <row r="2226" spans="7:56" s="338" customFormat="1">
      <c r="G2226" s="340"/>
      <c r="L2226" s="340"/>
      <c r="P2226" s="340"/>
      <c r="U2226" s="340"/>
      <c r="V2226" s="340"/>
      <c r="Z2226" s="340"/>
      <c r="AE2226" s="340"/>
      <c r="AI2226" s="340"/>
      <c r="AN2226" s="340"/>
      <c r="AO2226" s="340"/>
      <c r="AS2226" s="340"/>
      <c r="AX2226" s="340"/>
      <c r="BB2226" s="340"/>
      <c r="BD2226" s="339"/>
    </row>
    <row r="2227" spans="7:56" s="338" customFormat="1">
      <c r="G2227" s="340"/>
      <c r="L2227" s="340"/>
      <c r="P2227" s="340"/>
      <c r="U2227" s="340"/>
      <c r="V2227" s="340"/>
      <c r="Z2227" s="340"/>
      <c r="AE2227" s="340"/>
      <c r="AI2227" s="340"/>
      <c r="AN2227" s="340"/>
      <c r="AO2227" s="340"/>
      <c r="AS2227" s="340"/>
      <c r="AX2227" s="340"/>
      <c r="BB2227" s="340"/>
      <c r="BD2227" s="339"/>
    </row>
    <row r="2228" spans="7:56" s="338" customFormat="1">
      <c r="G2228" s="340"/>
      <c r="L2228" s="340"/>
      <c r="P2228" s="340"/>
      <c r="U2228" s="340"/>
      <c r="V2228" s="340"/>
      <c r="Z2228" s="340"/>
      <c r="AE2228" s="340"/>
      <c r="AI2228" s="340"/>
      <c r="AN2228" s="340"/>
      <c r="AO2228" s="340"/>
      <c r="AS2228" s="340"/>
      <c r="AX2228" s="340"/>
      <c r="BB2228" s="340"/>
      <c r="BD2228" s="339"/>
    </row>
    <row r="2229" spans="7:56" s="338" customFormat="1">
      <c r="G2229" s="340"/>
      <c r="L2229" s="340"/>
      <c r="P2229" s="340"/>
      <c r="U2229" s="340"/>
      <c r="V2229" s="340"/>
      <c r="Z2229" s="340"/>
      <c r="AE2229" s="340"/>
      <c r="AI2229" s="340"/>
      <c r="AN2229" s="340"/>
      <c r="AO2229" s="340"/>
      <c r="AS2229" s="340"/>
      <c r="AX2229" s="340"/>
      <c r="BB2229" s="340"/>
      <c r="BD2229" s="339"/>
    </row>
    <row r="2230" spans="7:56" s="338" customFormat="1">
      <c r="G2230" s="340"/>
      <c r="L2230" s="340"/>
      <c r="P2230" s="340"/>
      <c r="U2230" s="340"/>
      <c r="V2230" s="340"/>
      <c r="Z2230" s="340"/>
      <c r="AE2230" s="340"/>
      <c r="AI2230" s="340"/>
      <c r="AN2230" s="340"/>
      <c r="AO2230" s="340"/>
      <c r="AS2230" s="340"/>
      <c r="AX2230" s="340"/>
      <c r="BB2230" s="340"/>
      <c r="BD2230" s="339"/>
    </row>
    <row r="2231" spans="7:56" s="338" customFormat="1">
      <c r="G2231" s="340"/>
      <c r="L2231" s="340"/>
      <c r="P2231" s="340"/>
      <c r="U2231" s="340"/>
      <c r="V2231" s="340"/>
      <c r="Z2231" s="340"/>
      <c r="AE2231" s="340"/>
      <c r="AI2231" s="340"/>
      <c r="AN2231" s="340"/>
      <c r="AO2231" s="340"/>
      <c r="AS2231" s="340"/>
      <c r="AX2231" s="340"/>
      <c r="BB2231" s="340"/>
      <c r="BD2231" s="339"/>
    </row>
    <row r="2232" spans="7:56" s="338" customFormat="1">
      <c r="G2232" s="340"/>
      <c r="L2232" s="340"/>
      <c r="P2232" s="340"/>
      <c r="U2232" s="340"/>
      <c r="V2232" s="340"/>
      <c r="Z2232" s="340"/>
      <c r="AE2232" s="340"/>
      <c r="AI2232" s="340"/>
      <c r="AN2232" s="340"/>
      <c r="AO2232" s="340"/>
      <c r="AS2232" s="340"/>
      <c r="AX2232" s="340"/>
      <c r="BB2232" s="340"/>
      <c r="BD2232" s="339"/>
    </row>
    <row r="2233" spans="7:56" s="338" customFormat="1">
      <c r="G2233" s="340"/>
      <c r="L2233" s="340"/>
      <c r="P2233" s="340"/>
      <c r="U2233" s="340"/>
      <c r="V2233" s="340"/>
      <c r="Z2233" s="340"/>
      <c r="AE2233" s="340"/>
      <c r="AI2233" s="340"/>
      <c r="AN2233" s="340"/>
      <c r="AO2233" s="340"/>
      <c r="AS2233" s="340"/>
      <c r="AX2233" s="340"/>
      <c r="BB2233" s="340"/>
      <c r="BD2233" s="339"/>
    </row>
    <row r="2234" spans="7:56" s="338" customFormat="1">
      <c r="G2234" s="340"/>
      <c r="L2234" s="340"/>
      <c r="P2234" s="340"/>
      <c r="U2234" s="340"/>
      <c r="V2234" s="340"/>
      <c r="Z2234" s="340"/>
      <c r="AE2234" s="340"/>
      <c r="AI2234" s="340"/>
      <c r="AN2234" s="340"/>
      <c r="AO2234" s="340"/>
      <c r="AS2234" s="340"/>
      <c r="AX2234" s="340"/>
      <c r="BB2234" s="340"/>
      <c r="BD2234" s="339"/>
    </row>
    <row r="2235" spans="7:56" s="338" customFormat="1">
      <c r="G2235" s="340"/>
      <c r="L2235" s="340"/>
      <c r="P2235" s="340"/>
      <c r="U2235" s="340"/>
      <c r="V2235" s="340"/>
      <c r="Z2235" s="340"/>
      <c r="AE2235" s="340"/>
      <c r="AI2235" s="340"/>
      <c r="AN2235" s="340"/>
      <c r="AO2235" s="340"/>
      <c r="AS2235" s="340"/>
      <c r="AX2235" s="340"/>
      <c r="BB2235" s="340"/>
      <c r="BD2235" s="339"/>
    </row>
    <row r="2236" spans="7:56" s="338" customFormat="1">
      <c r="G2236" s="340"/>
      <c r="L2236" s="340"/>
      <c r="P2236" s="340"/>
      <c r="U2236" s="340"/>
      <c r="V2236" s="340"/>
      <c r="Z2236" s="340"/>
      <c r="AE2236" s="340"/>
      <c r="AI2236" s="340"/>
      <c r="AN2236" s="340"/>
      <c r="AO2236" s="340"/>
      <c r="AS2236" s="340"/>
      <c r="AX2236" s="340"/>
      <c r="BB2236" s="340"/>
      <c r="BD2236" s="339"/>
    </row>
    <row r="2237" spans="7:56" s="338" customFormat="1">
      <c r="G2237" s="340"/>
      <c r="L2237" s="340"/>
      <c r="P2237" s="340"/>
      <c r="U2237" s="340"/>
      <c r="V2237" s="340"/>
      <c r="Z2237" s="340"/>
      <c r="AE2237" s="340"/>
      <c r="AI2237" s="340"/>
      <c r="AN2237" s="340"/>
      <c r="AO2237" s="340"/>
      <c r="AS2237" s="340"/>
      <c r="AX2237" s="340"/>
      <c r="BB2237" s="340"/>
      <c r="BD2237" s="339"/>
    </row>
    <row r="2238" spans="7:56" s="338" customFormat="1">
      <c r="G2238" s="340"/>
      <c r="L2238" s="340"/>
      <c r="P2238" s="340"/>
      <c r="U2238" s="340"/>
      <c r="V2238" s="340"/>
      <c r="Z2238" s="340"/>
      <c r="AE2238" s="340"/>
      <c r="AI2238" s="340"/>
      <c r="AN2238" s="340"/>
      <c r="AO2238" s="340"/>
      <c r="AS2238" s="340"/>
      <c r="AX2238" s="340"/>
      <c r="BB2238" s="340"/>
      <c r="BD2238" s="339"/>
    </row>
    <row r="2239" spans="7:56" s="338" customFormat="1">
      <c r="G2239" s="340"/>
      <c r="L2239" s="340"/>
      <c r="P2239" s="340"/>
      <c r="U2239" s="340"/>
      <c r="V2239" s="340"/>
      <c r="Z2239" s="340"/>
      <c r="AE2239" s="340"/>
      <c r="AI2239" s="340"/>
      <c r="AN2239" s="340"/>
      <c r="AO2239" s="340"/>
      <c r="AS2239" s="340"/>
      <c r="AX2239" s="340"/>
      <c r="BB2239" s="340"/>
      <c r="BD2239" s="339"/>
    </row>
    <row r="2240" spans="7:56" s="338" customFormat="1">
      <c r="G2240" s="340"/>
      <c r="L2240" s="340"/>
      <c r="P2240" s="340"/>
      <c r="U2240" s="340"/>
      <c r="V2240" s="340"/>
      <c r="Z2240" s="340"/>
      <c r="AE2240" s="340"/>
      <c r="AI2240" s="340"/>
      <c r="AN2240" s="340"/>
      <c r="AO2240" s="340"/>
      <c r="AS2240" s="340"/>
      <c r="AX2240" s="340"/>
      <c r="BB2240" s="340"/>
      <c r="BD2240" s="339"/>
    </row>
    <row r="2241" spans="7:56" s="338" customFormat="1">
      <c r="G2241" s="340"/>
      <c r="L2241" s="340"/>
      <c r="P2241" s="340"/>
      <c r="U2241" s="340"/>
      <c r="V2241" s="340"/>
      <c r="Z2241" s="340"/>
      <c r="AE2241" s="340"/>
      <c r="AI2241" s="340"/>
      <c r="AN2241" s="340"/>
      <c r="AO2241" s="340"/>
      <c r="AS2241" s="340"/>
      <c r="AX2241" s="340"/>
      <c r="BB2241" s="340"/>
      <c r="BD2241" s="339"/>
    </row>
    <row r="2242" spans="7:56" s="338" customFormat="1">
      <c r="G2242" s="340"/>
      <c r="L2242" s="340"/>
      <c r="P2242" s="340"/>
      <c r="U2242" s="340"/>
      <c r="V2242" s="340"/>
      <c r="Z2242" s="340"/>
      <c r="AE2242" s="340"/>
      <c r="AI2242" s="340"/>
      <c r="AN2242" s="340"/>
      <c r="AO2242" s="340"/>
      <c r="AS2242" s="340"/>
      <c r="AX2242" s="340"/>
      <c r="BB2242" s="340"/>
      <c r="BD2242" s="339"/>
    </row>
    <row r="2243" spans="7:56" s="338" customFormat="1">
      <c r="G2243" s="340"/>
      <c r="L2243" s="340"/>
      <c r="P2243" s="340"/>
      <c r="U2243" s="340"/>
      <c r="V2243" s="340"/>
      <c r="Z2243" s="340"/>
      <c r="AE2243" s="340"/>
      <c r="AI2243" s="340"/>
      <c r="AN2243" s="340"/>
      <c r="AO2243" s="340"/>
      <c r="AS2243" s="340"/>
      <c r="AX2243" s="340"/>
      <c r="BB2243" s="340"/>
      <c r="BD2243" s="339"/>
    </row>
    <row r="2244" spans="7:56" s="338" customFormat="1">
      <c r="G2244" s="340"/>
      <c r="L2244" s="340"/>
      <c r="P2244" s="340"/>
      <c r="U2244" s="340"/>
      <c r="V2244" s="340"/>
      <c r="Z2244" s="340"/>
      <c r="AE2244" s="340"/>
      <c r="AI2244" s="340"/>
      <c r="AN2244" s="340"/>
      <c r="AO2244" s="340"/>
      <c r="AS2244" s="340"/>
      <c r="AX2244" s="340"/>
      <c r="BB2244" s="340"/>
      <c r="BD2244" s="339"/>
    </row>
    <row r="2245" spans="7:56" s="338" customFormat="1">
      <c r="G2245" s="340"/>
      <c r="L2245" s="340"/>
      <c r="P2245" s="340"/>
      <c r="U2245" s="340"/>
      <c r="V2245" s="340"/>
      <c r="Z2245" s="340"/>
      <c r="AE2245" s="340"/>
      <c r="AI2245" s="340"/>
      <c r="AN2245" s="340"/>
      <c r="AO2245" s="340"/>
      <c r="AS2245" s="340"/>
      <c r="AX2245" s="340"/>
      <c r="BB2245" s="340"/>
      <c r="BD2245" s="339"/>
    </row>
    <row r="2246" spans="7:56" s="338" customFormat="1">
      <c r="G2246" s="340"/>
      <c r="L2246" s="340"/>
      <c r="P2246" s="340"/>
      <c r="U2246" s="340"/>
      <c r="V2246" s="340"/>
      <c r="Z2246" s="340"/>
      <c r="AE2246" s="340"/>
      <c r="AI2246" s="340"/>
      <c r="AN2246" s="340"/>
      <c r="AO2246" s="340"/>
      <c r="AS2246" s="340"/>
      <c r="AX2246" s="340"/>
      <c r="BB2246" s="340"/>
      <c r="BD2246" s="339"/>
    </row>
    <row r="2247" spans="7:56" s="338" customFormat="1">
      <c r="G2247" s="340"/>
      <c r="L2247" s="340"/>
      <c r="P2247" s="340"/>
      <c r="U2247" s="340"/>
      <c r="V2247" s="340"/>
      <c r="Z2247" s="340"/>
      <c r="AE2247" s="340"/>
      <c r="AI2247" s="340"/>
      <c r="AN2247" s="340"/>
      <c r="AO2247" s="340"/>
      <c r="AS2247" s="340"/>
      <c r="AX2247" s="340"/>
      <c r="BB2247" s="340"/>
      <c r="BD2247" s="339"/>
    </row>
    <row r="2248" spans="7:56" s="338" customFormat="1">
      <c r="G2248" s="340"/>
      <c r="L2248" s="340"/>
      <c r="P2248" s="340"/>
      <c r="U2248" s="340"/>
      <c r="V2248" s="340"/>
      <c r="Z2248" s="340"/>
      <c r="AE2248" s="340"/>
      <c r="AI2248" s="340"/>
      <c r="AN2248" s="340"/>
      <c r="AO2248" s="340"/>
      <c r="AS2248" s="340"/>
      <c r="AX2248" s="340"/>
      <c r="BB2248" s="340"/>
      <c r="BD2248" s="339"/>
    </row>
    <row r="2249" spans="7:56" s="338" customFormat="1">
      <c r="G2249" s="340"/>
      <c r="L2249" s="340"/>
      <c r="P2249" s="340"/>
      <c r="U2249" s="340"/>
      <c r="V2249" s="340"/>
      <c r="Z2249" s="340"/>
      <c r="AE2249" s="340"/>
      <c r="AI2249" s="340"/>
      <c r="AN2249" s="340"/>
      <c r="AO2249" s="340"/>
      <c r="AS2249" s="340"/>
      <c r="AX2249" s="340"/>
      <c r="BB2249" s="340"/>
      <c r="BD2249" s="339"/>
    </row>
    <row r="2250" spans="7:56" s="338" customFormat="1">
      <c r="G2250" s="340"/>
      <c r="L2250" s="340"/>
      <c r="P2250" s="340"/>
      <c r="U2250" s="340"/>
      <c r="V2250" s="340"/>
      <c r="Z2250" s="340"/>
      <c r="AE2250" s="340"/>
      <c r="AI2250" s="340"/>
      <c r="AN2250" s="340"/>
      <c r="AO2250" s="340"/>
      <c r="AS2250" s="340"/>
      <c r="AX2250" s="340"/>
      <c r="BB2250" s="340"/>
      <c r="BD2250" s="339"/>
    </row>
    <row r="2251" spans="7:56" s="338" customFormat="1">
      <c r="G2251" s="340"/>
      <c r="L2251" s="340"/>
      <c r="P2251" s="340"/>
      <c r="U2251" s="340"/>
      <c r="V2251" s="340"/>
      <c r="Z2251" s="340"/>
      <c r="AE2251" s="340"/>
      <c r="AI2251" s="340"/>
      <c r="AN2251" s="340"/>
      <c r="AO2251" s="340"/>
      <c r="AS2251" s="340"/>
      <c r="AX2251" s="340"/>
      <c r="BB2251" s="340"/>
      <c r="BD2251" s="339"/>
    </row>
    <row r="2252" spans="7:56" s="338" customFormat="1">
      <c r="G2252" s="340"/>
      <c r="L2252" s="340"/>
      <c r="P2252" s="340"/>
      <c r="U2252" s="340"/>
      <c r="V2252" s="340"/>
      <c r="Z2252" s="340"/>
      <c r="AE2252" s="340"/>
      <c r="AI2252" s="340"/>
      <c r="AN2252" s="340"/>
      <c r="AO2252" s="340"/>
      <c r="AS2252" s="340"/>
      <c r="AX2252" s="340"/>
      <c r="BB2252" s="340"/>
      <c r="BD2252" s="339"/>
    </row>
    <row r="2253" spans="7:56" s="338" customFormat="1">
      <c r="G2253" s="340"/>
      <c r="L2253" s="340"/>
      <c r="P2253" s="340"/>
      <c r="U2253" s="340"/>
      <c r="V2253" s="340"/>
      <c r="Z2253" s="340"/>
      <c r="AE2253" s="340"/>
      <c r="AI2253" s="340"/>
      <c r="AN2253" s="340"/>
      <c r="AO2253" s="340"/>
      <c r="AS2253" s="340"/>
      <c r="AX2253" s="340"/>
      <c r="BB2253" s="340"/>
      <c r="BD2253" s="339"/>
    </row>
    <row r="2254" spans="7:56" s="338" customFormat="1">
      <c r="G2254" s="340"/>
      <c r="L2254" s="340"/>
      <c r="P2254" s="340"/>
      <c r="U2254" s="340"/>
      <c r="V2254" s="340"/>
      <c r="Z2254" s="340"/>
      <c r="AE2254" s="340"/>
      <c r="AI2254" s="340"/>
      <c r="AN2254" s="340"/>
      <c r="AO2254" s="340"/>
      <c r="AS2254" s="340"/>
      <c r="AX2254" s="340"/>
      <c r="BB2254" s="340"/>
      <c r="BD2254" s="339"/>
    </row>
    <row r="2255" spans="7:56" s="338" customFormat="1">
      <c r="G2255" s="340"/>
      <c r="L2255" s="340"/>
      <c r="P2255" s="340"/>
      <c r="U2255" s="340"/>
      <c r="V2255" s="340"/>
      <c r="Z2255" s="340"/>
      <c r="AE2255" s="340"/>
      <c r="AI2255" s="340"/>
      <c r="AN2255" s="340"/>
      <c r="AO2255" s="340"/>
      <c r="AS2255" s="340"/>
      <c r="AX2255" s="340"/>
      <c r="BB2255" s="340"/>
      <c r="BD2255" s="339"/>
    </row>
    <row r="2256" spans="7:56" s="338" customFormat="1">
      <c r="G2256" s="340"/>
      <c r="L2256" s="340"/>
      <c r="P2256" s="340"/>
      <c r="U2256" s="340"/>
      <c r="V2256" s="340"/>
      <c r="Z2256" s="340"/>
      <c r="AE2256" s="340"/>
      <c r="AI2256" s="340"/>
      <c r="AN2256" s="340"/>
      <c r="AO2256" s="340"/>
      <c r="AS2256" s="340"/>
      <c r="AX2256" s="340"/>
      <c r="BB2256" s="340"/>
      <c r="BD2256" s="339"/>
    </row>
    <row r="2257" spans="7:56" s="338" customFormat="1">
      <c r="G2257" s="340"/>
      <c r="L2257" s="340"/>
      <c r="P2257" s="340"/>
      <c r="U2257" s="340"/>
      <c r="V2257" s="340"/>
      <c r="Z2257" s="340"/>
      <c r="AE2257" s="340"/>
      <c r="AI2257" s="340"/>
      <c r="AN2257" s="340"/>
      <c r="AO2257" s="340"/>
      <c r="AS2257" s="340"/>
      <c r="AX2257" s="340"/>
      <c r="BB2257" s="340"/>
      <c r="BD2257" s="339"/>
    </row>
    <row r="2258" spans="7:56" s="338" customFormat="1">
      <c r="G2258" s="340"/>
      <c r="L2258" s="340"/>
      <c r="P2258" s="340"/>
      <c r="U2258" s="340"/>
      <c r="V2258" s="340"/>
      <c r="Z2258" s="340"/>
      <c r="AE2258" s="340"/>
      <c r="AI2258" s="340"/>
      <c r="AN2258" s="340"/>
      <c r="AO2258" s="340"/>
      <c r="AS2258" s="340"/>
      <c r="AX2258" s="340"/>
      <c r="BB2258" s="340"/>
      <c r="BD2258" s="339"/>
    </row>
    <row r="2259" spans="7:56" s="338" customFormat="1">
      <c r="G2259" s="340"/>
      <c r="L2259" s="340"/>
      <c r="P2259" s="340"/>
      <c r="U2259" s="340"/>
      <c r="V2259" s="340"/>
      <c r="Z2259" s="340"/>
      <c r="AE2259" s="340"/>
      <c r="AI2259" s="340"/>
      <c r="AN2259" s="340"/>
      <c r="AO2259" s="340"/>
      <c r="AS2259" s="340"/>
      <c r="AX2259" s="340"/>
      <c r="BB2259" s="340"/>
      <c r="BD2259" s="339"/>
    </row>
    <row r="2260" spans="7:56" s="338" customFormat="1">
      <c r="G2260" s="340"/>
      <c r="L2260" s="340"/>
      <c r="P2260" s="340"/>
      <c r="U2260" s="340"/>
      <c r="V2260" s="340"/>
      <c r="Z2260" s="340"/>
      <c r="AE2260" s="340"/>
      <c r="AI2260" s="340"/>
      <c r="AN2260" s="340"/>
      <c r="AO2260" s="340"/>
      <c r="AS2260" s="340"/>
      <c r="AX2260" s="340"/>
      <c r="BB2260" s="340"/>
      <c r="BD2260" s="339"/>
    </row>
    <row r="2261" spans="7:56" s="338" customFormat="1">
      <c r="G2261" s="340"/>
      <c r="L2261" s="340"/>
      <c r="P2261" s="340"/>
      <c r="U2261" s="340"/>
      <c r="V2261" s="340"/>
      <c r="Z2261" s="340"/>
      <c r="AE2261" s="340"/>
      <c r="AI2261" s="340"/>
      <c r="AN2261" s="340"/>
      <c r="AO2261" s="340"/>
      <c r="AS2261" s="340"/>
      <c r="AX2261" s="340"/>
      <c r="BB2261" s="340"/>
      <c r="BD2261" s="339"/>
    </row>
    <row r="2262" spans="7:56" s="338" customFormat="1">
      <c r="G2262" s="340"/>
      <c r="L2262" s="340"/>
      <c r="P2262" s="340"/>
      <c r="U2262" s="340"/>
      <c r="V2262" s="340"/>
      <c r="Z2262" s="340"/>
      <c r="AE2262" s="340"/>
      <c r="AI2262" s="340"/>
      <c r="AN2262" s="340"/>
      <c r="AO2262" s="340"/>
      <c r="AS2262" s="340"/>
      <c r="AX2262" s="340"/>
      <c r="BB2262" s="340"/>
      <c r="BD2262" s="339"/>
    </row>
    <row r="2263" spans="7:56" s="338" customFormat="1">
      <c r="G2263" s="340"/>
      <c r="L2263" s="340"/>
      <c r="P2263" s="340"/>
      <c r="U2263" s="340"/>
      <c r="V2263" s="340"/>
      <c r="Z2263" s="340"/>
      <c r="AE2263" s="340"/>
      <c r="AI2263" s="340"/>
      <c r="AN2263" s="340"/>
      <c r="AO2263" s="340"/>
      <c r="AS2263" s="340"/>
      <c r="AX2263" s="340"/>
      <c r="BB2263" s="340"/>
      <c r="BD2263" s="339"/>
    </row>
    <row r="2264" spans="7:56" s="338" customFormat="1">
      <c r="G2264" s="340"/>
      <c r="L2264" s="340"/>
      <c r="P2264" s="340"/>
      <c r="U2264" s="340"/>
      <c r="V2264" s="340"/>
      <c r="Z2264" s="340"/>
      <c r="AE2264" s="340"/>
      <c r="AI2264" s="340"/>
      <c r="AN2264" s="340"/>
      <c r="AO2264" s="340"/>
      <c r="AS2264" s="340"/>
      <c r="AX2264" s="340"/>
      <c r="BB2264" s="340"/>
      <c r="BD2264" s="339"/>
    </row>
    <row r="2265" spans="7:56" s="338" customFormat="1">
      <c r="G2265" s="340"/>
      <c r="L2265" s="340"/>
      <c r="P2265" s="340"/>
      <c r="U2265" s="340"/>
      <c r="V2265" s="340"/>
      <c r="Z2265" s="340"/>
      <c r="AE2265" s="340"/>
      <c r="AI2265" s="340"/>
      <c r="AN2265" s="340"/>
      <c r="AO2265" s="340"/>
      <c r="AS2265" s="340"/>
      <c r="AX2265" s="340"/>
      <c r="BB2265" s="340"/>
      <c r="BD2265" s="339"/>
    </row>
    <row r="2266" spans="7:56" s="338" customFormat="1">
      <c r="G2266" s="340"/>
      <c r="L2266" s="340"/>
      <c r="P2266" s="340"/>
      <c r="U2266" s="340"/>
      <c r="V2266" s="340"/>
      <c r="Z2266" s="340"/>
      <c r="AE2266" s="340"/>
      <c r="AI2266" s="340"/>
      <c r="AN2266" s="340"/>
      <c r="AO2266" s="340"/>
      <c r="AS2266" s="340"/>
      <c r="AX2266" s="340"/>
      <c r="BB2266" s="340"/>
      <c r="BD2266" s="339"/>
    </row>
    <row r="2267" spans="7:56" s="338" customFormat="1">
      <c r="G2267" s="340"/>
      <c r="L2267" s="340"/>
      <c r="P2267" s="340"/>
      <c r="U2267" s="340"/>
      <c r="V2267" s="340"/>
      <c r="Z2267" s="340"/>
      <c r="AE2267" s="340"/>
      <c r="AI2267" s="340"/>
      <c r="AN2267" s="340"/>
      <c r="AO2267" s="340"/>
      <c r="AS2267" s="340"/>
      <c r="AX2267" s="340"/>
      <c r="BB2267" s="340"/>
      <c r="BD2267" s="339"/>
    </row>
    <row r="2268" spans="7:56" s="338" customFormat="1">
      <c r="G2268" s="340"/>
      <c r="L2268" s="340"/>
      <c r="P2268" s="340"/>
      <c r="U2268" s="340"/>
      <c r="V2268" s="340"/>
      <c r="Z2268" s="340"/>
      <c r="AE2268" s="340"/>
      <c r="AI2268" s="340"/>
      <c r="AN2268" s="340"/>
      <c r="AO2268" s="340"/>
      <c r="AS2268" s="340"/>
      <c r="AX2268" s="340"/>
      <c r="BB2268" s="340"/>
      <c r="BD2268" s="339"/>
    </row>
    <row r="2269" spans="7:56" s="338" customFormat="1">
      <c r="G2269" s="340"/>
      <c r="L2269" s="340"/>
      <c r="P2269" s="340"/>
      <c r="U2269" s="340"/>
      <c r="V2269" s="340"/>
      <c r="Z2269" s="340"/>
      <c r="AE2269" s="340"/>
      <c r="AI2269" s="340"/>
      <c r="AN2269" s="340"/>
      <c r="AO2269" s="340"/>
      <c r="AS2269" s="340"/>
      <c r="AX2269" s="340"/>
      <c r="BB2269" s="340"/>
      <c r="BD2269" s="339"/>
    </row>
    <row r="2270" spans="7:56" s="338" customFormat="1">
      <c r="G2270" s="340"/>
      <c r="L2270" s="340"/>
      <c r="P2270" s="340"/>
      <c r="U2270" s="340"/>
      <c r="V2270" s="340"/>
      <c r="Z2270" s="340"/>
      <c r="AE2270" s="340"/>
      <c r="AI2270" s="340"/>
      <c r="AN2270" s="340"/>
      <c r="AO2270" s="340"/>
      <c r="AS2270" s="340"/>
      <c r="AX2270" s="340"/>
      <c r="BB2270" s="340"/>
      <c r="BD2270" s="339"/>
    </row>
    <row r="2271" spans="7:56" s="338" customFormat="1">
      <c r="G2271" s="340"/>
      <c r="L2271" s="340"/>
      <c r="P2271" s="340"/>
      <c r="U2271" s="340"/>
      <c r="V2271" s="340"/>
      <c r="Z2271" s="340"/>
      <c r="AE2271" s="340"/>
      <c r="AI2271" s="340"/>
      <c r="AN2271" s="340"/>
      <c r="AO2271" s="340"/>
      <c r="AS2271" s="340"/>
      <c r="AX2271" s="340"/>
      <c r="BB2271" s="340"/>
      <c r="BD2271" s="339"/>
    </row>
    <row r="2272" spans="7:56" s="338" customFormat="1">
      <c r="G2272" s="340"/>
      <c r="L2272" s="340"/>
      <c r="P2272" s="340"/>
      <c r="U2272" s="340"/>
      <c r="V2272" s="340"/>
      <c r="Z2272" s="340"/>
      <c r="AE2272" s="340"/>
      <c r="AI2272" s="340"/>
      <c r="AN2272" s="340"/>
      <c r="AO2272" s="340"/>
      <c r="AS2272" s="340"/>
      <c r="AX2272" s="340"/>
      <c r="BB2272" s="340"/>
      <c r="BD2272" s="339"/>
    </row>
    <row r="2273" spans="7:56" s="338" customFormat="1">
      <c r="G2273" s="340"/>
      <c r="L2273" s="340"/>
      <c r="P2273" s="340"/>
      <c r="U2273" s="340"/>
      <c r="V2273" s="340"/>
      <c r="Z2273" s="340"/>
      <c r="AE2273" s="340"/>
      <c r="AI2273" s="340"/>
      <c r="AN2273" s="340"/>
      <c r="AO2273" s="340"/>
      <c r="AS2273" s="340"/>
      <c r="AX2273" s="340"/>
      <c r="BB2273" s="340"/>
      <c r="BD2273" s="339"/>
    </row>
    <row r="2274" spans="7:56" s="338" customFormat="1">
      <c r="G2274" s="340"/>
      <c r="L2274" s="340"/>
      <c r="P2274" s="340"/>
      <c r="U2274" s="340"/>
      <c r="V2274" s="340"/>
      <c r="Z2274" s="340"/>
      <c r="AE2274" s="340"/>
      <c r="AI2274" s="340"/>
      <c r="AN2274" s="340"/>
      <c r="AO2274" s="340"/>
      <c r="AS2274" s="340"/>
      <c r="AX2274" s="340"/>
      <c r="BB2274" s="340"/>
      <c r="BD2274" s="339"/>
    </row>
    <row r="2275" spans="7:56" s="338" customFormat="1">
      <c r="G2275" s="340"/>
      <c r="L2275" s="340"/>
      <c r="P2275" s="340"/>
      <c r="U2275" s="340"/>
      <c r="V2275" s="340"/>
      <c r="Z2275" s="340"/>
      <c r="AE2275" s="340"/>
      <c r="AI2275" s="340"/>
      <c r="AN2275" s="340"/>
      <c r="AO2275" s="340"/>
      <c r="AS2275" s="340"/>
      <c r="AX2275" s="340"/>
      <c r="BB2275" s="340"/>
      <c r="BD2275" s="339"/>
    </row>
    <row r="2276" spans="7:56" s="338" customFormat="1">
      <c r="G2276" s="340"/>
      <c r="L2276" s="340"/>
      <c r="P2276" s="340"/>
      <c r="U2276" s="340"/>
      <c r="V2276" s="340"/>
      <c r="Z2276" s="340"/>
      <c r="AE2276" s="340"/>
      <c r="AI2276" s="340"/>
      <c r="AN2276" s="340"/>
      <c r="AO2276" s="340"/>
      <c r="AS2276" s="340"/>
      <c r="AX2276" s="340"/>
      <c r="BB2276" s="340"/>
      <c r="BD2276" s="339"/>
    </row>
    <row r="2277" spans="7:56" s="338" customFormat="1">
      <c r="G2277" s="340"/>
      <c r="L2277" s="340"/>
      <c r="P2277" s="340"/>
      <c r="U2277" s="340"/>
      <c r="V2277" s="340"/>
      <c r="Z2277" s="340"/>
      <c r="AE2277" s="340"/>
      <c r="AI2277" s="340"/>
      <c r="AN2277" s="340"/>
      <c r="AO2277" s="340"/>
      <c r="AS2277" s="340"/>
      <c r="AX2277" s="340"/>
      <c r="BB2277" s="340"/>
      <c r="BD2277" s="339"/>
    </row>
    <row r="2278" spans="7:56" s="338" customFormat="1">
      <c r="G2278" s="340"/>
      <c r="L2278" s="340"/>
      <c r="P2278" s="340"/>
      <c r="U2278" s="340"/>
      <c r="V2278" s="340"/>
      <c r="Z2278" s="340"/>
      <c r="AE2278" s="340"/>
      <c r="AI2278" s="340"/>
      <c r="AN2278" s="340"/>
      <c r="AO2278" s="340"/>
      <c r="AS2278" s="340"/>
      <c r="AX2278" s="340"/>
      <c r="BB2278" s="340"/>
      <c r="BD2278" s="339"/>
    </row>
    <row r="2279" spans="7:56" s="338" customFormat="1">
      <c r="G2279" s="340"/>
      <c r="L2279" s="340"/>
      <c r="P2279" s="340"/>
      <c r="U2279" s="340"/>
      <c r="V2279" s="340"/>
      <c r="Z2279" s="340"/>
      <c r="AE2279" s="340"/>
      <c r="AI2279" s="340"/>
      <c r="AN2279" s="340"/>
      <c r="AO2279" s="340"/>
      <c r="AS2279" s="340"/>
      <c r="AX2279" s="340"/>
      <c r="BB2279" s="340"/>
      <c r="BD2279" s="339"/>
    </row>
    <row r="2280" spans="7:56" s="338" customFormat="1">
      <c r="G2280" s="340"/>
      <c r="L2280" s="340"/>
      <c r="P2280" s="340"/>
      <c r="U2280" s="340"/>
      <c r="V2280" s="340"/>
      <c r="Z2280" s="340"/>
      <c r="AE2280" s="340"/>
      <c r="AI2280" s="340"/>
      <c r="AN2280" s="340"/>
      <c r="AO2280" s="340"/>
      <c r="AS2280" s="340"/>
      <c r="AX2280" s="340"/>
      <c r="BB2280" s="340"/>
      <c r="BD2280" s="339"/>
    </row>
    <row r="2281" spans="7:56" s="338" customFormat="1">
      <c r="G2281" s="340"/>
      <c r="L2281" s="340"/>
      <c r="P2281" s="340"/>
      <c r="U2281" s="340"/>
      <c r="V2281" s="340"/>
      <c r="Z2281" s="340"/>
      <c r="AE2281" s="340"/>
      <c r="AI2281" s="340"/>
      <c r="AN2281" s="340"/>
      <c r="AO2281" s="340"/>
      <c r="AS2281" s="340"/>
      <c r="AX2281" s="340"/>
      <c r="BB2281" s="340"/>
      <c r="BD2281" s="339"/>
    </row>
    <row r="2282" spans="7:56" s="338" customFormat="1">
      <c r="G2282" s="340"/>
      <c r="L2282" s="340"/>
      <c r="P2282" s="340"/>
      <c r="U2282" s="340"/>
      <c r="V2282" s="340"/>
      <c r="Z2282" s="340"/>
      <c r="AE2282" s="340"/>
      <c r="AI2282" s="340"/>
      <c r="AN2282" s="340"/>
      <c r="AO2282" s="340"/>
      <c r="AS2282" s="340"/>
      <c r="AX2282" s="340"/>
      <c r="BB2282" s="340"/>
      <c r="BD2282" s="339"/>
    </row>
    <row r="2283" spans="7:56" s="338" customFormat="1">
      <c r="G2283" s="340"/>
      <c r="L2283" s="340"/>
      <c r="P2283" s="340"/>
      <c r="U2283" s="340"/>
      <c r="V2283" s="340"/>
      <c r="Z2283" s="340"/>
      <c r="AE2283" s="340"/>
      <c r="AI2283" s="340"/>
      <c r="AN2283" s="340"/>
      <c r="AO2283" s="340"/>
      <c r="AS2283" s="340"/>
      <c r="AX2283" s="340"/>
      <c r="BB2283" s="340"/>
      <c r="BD2283" s="339"/>
    </row>
    <row r="2284" spans="7:56" s="338" customFormat="1">
      <c r="G2284" s="340"/>
      <c r="L2284" s="340"/>
      <c r="P2284" s="340"/>
      <c r="U2284" s="340"/>
      <c r="V2284" s="340"/>
      <c r="Z2284" s="340"/>
      <c r="AE2284" s="340"/>
      <c r="AI2284" s="340"/>
      <c r="AN2284" s="340"/>
      <c r="AO2284" s="340"/>
      <c r="AS2284" s="340"/>
      <c r="AX2284" s="340"/>
      <c r="BB2284" s="340"/>
      <c r="BD2284" s="339"/>
    </row>
    <row r="2285" spans="7:56" s="338" customFormat="1">
      <c r="G2285" s="340"/>
      <c r="L2285" s="340"/>
      <c r="P2285" s="340"/>
      <c r="U2285" s="340"/>
      <c r="V2285" s="340"/>
      <c r="Z2285" s="340"/>
      <c r="AE2285" s="340"/>
      <c r="AI2285" s="340"/>
      <c r="AN2285" s="340"/>
      <c r="AO2285" s="340"/>
      <c r="AS2285" s="340"/>
      <c r="AX2285" s="340"/>
      <c r="BB2285" s="340"/>
      <c r="BD2285" s="339"/>
    </row>
    <row r="2286" spans="7:56" s="338" customFormat="1">
      <c r="G2286" s="340"/>
      <c r="L2286" s="340"/>
      <c r="P2286" s="340"/>
      <c r="U2286" s="340"/>
      <c r="V2286" s="340"/>
      <c r="Z2286" s="340"/>
      <c r="AE2286" s="340"/>
      <c r="AI2286" s="340"/>
      <c r="AN2286" s="340"/>
      <c r="AO2286" s="340"/>
      <c r="AS2286" s="340"/>
      <c r="AX2286" s="340"/>
      <c r="BB2286" s="340"/>
      <c r="BD2286" s="339"/>
    </row>
    <row r="2287" spans="7:56" s="338" customFormat="1">
      <c r="G2287" s="340"/>
      <c r="L2287" s="340"/>
      <c r="P2287" s="340"/>
      <c r="U2287" s="340"/>
      <c r="V2287" s="340"/>
      <c r="Z2287" s="340"/>
      <c r="AE2287" s="340"/>
      <c r="AI2287" s="340"/>
      <c r="AN2287" s="340"/>
      <c r="AO2287" s="340"/>
      <c r="AS2287" s="340"/>
      <c r="AX2287" s="340"/>
      <c r="BB2287" s="340"/>
      <c r="BD2287" s="339"/>
    </row>
    <row r="2288" spans="7:56" s="338" customFormat="1">
      <c r="G2288" s="340"/>
      <c r="L2288" s="340"/>
      <c r="P2288" s="340"/>
      <c r="U2288" s="340"/>
      <c r="V2288" s="340"/>
      <c r="Z2288" s="340"/>
      <c r="AE2288" s="340"/>
      <c r="AI2288" s="340"/>
      <c r="AN2288" s="340"/>
      <c r="AO2288" s="340"/>
      <c r="AS2288" s="340"/>
      <c r="AX2288" s="340"/>
      <c r="BB2288" s="340"/>
      <c r="BD2288" s="339"/>
    </row>
    <row r="2289" spans="7:56" s="338" customFormat="1">
      <c r="G2289" s="340"/>
      <c r="L2289" s="340"/>
      <c r="P2289" s="340"/>
      <c r="U2289" s="340"/>
      <c r="V2289" s="340"/>
      <c r="Z2289" s="340"/>
      <c r="AE2289" s="340"/>
      <c r="AI2289" s="340"/>
      <c r="AN2289" s="340"/>
      <c r="AO2289" s="340"/>
      <c r="AS2289" s="340"/>
      <c r="AX2289" s="340"/>
      <c r="BB2289" s="340"/>
      <c r="BD2289" s="339"/>
    </row>
    <row r="2290" spans="7:56" s="338" customFormat="1">
      <c r="G2290" s="340"/>
      <c r="L2290" s="340"/>
      <c r="P2290" s="340"/>
      <c r="U2290" s="340"/>
      <c r="V2290" s="340"/>
      <c r="Z2290" s="340"/>
      <c r="AE2290" s="340"/>
      <c r="AI2290" s="340"/>
      <c r="AN2290" s="340"/>
      <c r="AO2290" s="340"/>
      <c r="AS2290" s="340"/>
      <c r="AX2290" s="340"/>
      <c r="BB2290" s="340"/>
      <c r="BD2290" s="339"/>
    </row>
    <row r="2291" spans="7:56" s="338" customFormat="1">
      <c r="G2291" s="340"/>
      <c r="L2291" s="340"/>
      <c r="P2291" s="340"/>
      <c r="U2291" s="340"/>
      <c r="V2291" s="340"/>
      <c r="Z2291" s="340"/>
      <c r="AE2291" s="340"/>
      <c r="AI2291" s="340"/>
      <c r="AN2291" s="340"/>
      <c r="AO2291" s="340"/>
      <c r="AS2291" s="340"/>
      <c r="AX2291" s="340"/>
      <c r="BB2291" s="340"/>
      <c r="BD2291" s="339"/>
    </row>
    <row r="2292" spans="7:56" s="338" customFormat="1">
      <c r="G2292" s="340"/>
      <c r="L2292" s="340"/>
      <c r="P2292" s="340"/>
      <c r="U2292" s="340"/>
      <c r="V2292" s="340"/>
      <c r="Z2292" s="340"/>
      <c r="AE2292" s="340"/>
      <c r="AI2292" s="340"/>
      <c r="AN2292" s="340"/>
      <c r="AO2292" s="340"/>
      <c r="AS2292" s="340"/>
      <c r="AX2292" s="340"/>
      <c r="BB2292" s="340"/>
      <c r="BD2292" s="339"/>
    </row>
    <row r="2293" spans="7:56" s="338" customFormat="1">
      <c r="G2293" s="340"/>
      <c r="L2293" s="340"/>
      <c r="P2293" s="340"/>
      <c r="U2293" s="340"/>
      <c r="V2293" s="340"/>
      <c r="Z2293" s="340"/>
      <c r="AE2293" s="340"/>
      <c r="AI2293" s="340"/>
      <c r="AN2293" s="340"/>
      <c r="AO2293" s="340"/>
      <c r="AS2293" s="340"/>
      <c r="AX2293" s="340"/>
      <c r="BB2293" s="340"/>
      <c r="BD2293" s="339"/>
    </row>
    <row r="2294" spans="7:56" s="338" customFormat="1">
      <c r="G2294" s="340"/>
      <c r="L2294" s="340"/>
      <c r="P2294" s="340"/>
      <c r="U2294" s="340"/>
      <c r="V2294" s="340"/>
      <c r="Z2294" s="340"/>
      <c r="AE2294" s="340"/>
      <c r="AI2294" s="340"/>
      <c r="AN2294" s="340"/>
      <c r="AO2294" s="340"/>
      <c r="AS2294" s="340"/>
      <c r="AX2294" s="340"/>
      <c r="BB2294" s="340"/>
      <c r="BD2294" s="339"/>
    </row>
    <row r="2295" spans="7:56" s="338" customFormat="1">
      <c r="G2295" s="340"/>
      <c r="L2295" s="340"/>
      <c r="P2295" s="340"/>
      <c r="U2295" s="340"/>
      <c r="V2295" s="340"/>
      <c r="Z2295" s="340"/>
      <c r="AE2295" s="340"/>
      <c r="AI2295" s="340"/>
      <c r="AN2295" s="340"/>
      <c r="AO2295" s="340"/>
      <c r="AS2295" s="340"/>
      <c r="AX2295" s="340"/>
      <c r="BB2295" s="340"/>
      <c r="BD2295" s="339"/>
    </row>
    <row r="2296" spans="7:56" s="338" customFormat="1">
      <c r="G2296" s="340"/>
      <c r="L2296" s="340"/>
      <c r="P2296" s="340"/>
      <c r="U2296" s="340"/>
      <c r="V2296" s="340"/>
      <c r="Z2296" s="340"/>
      <c r="AE2296" s="340"/>
      <c r="AI2296" s="340"/>
      <c r="AN2296" s="340"/>
      <c r="AO2296" s="340"/>
      <c r="AS2296" s="340"/>
      <c r="AX2296" s="340"/>
      <c r="BB2296" s="340"/>
      <c r="BD2296" s="339"/>
    </row>
    <row r="2297" spans="7:56" s="338" customFormat="1">
      <c r="G2297" s="340"/>
      <c r="L2297" s="340"/>
      <c r="P2297" s="340"/>
      <c r="U2297" s="340"/>
      <c r="V2297" s="340"/>
      <c r="Z2297" s="340"/>
      <c r="AE2297" s="340"/>
      <c r="AI2297" s="340"/>
      <c r="AN2297" s="340"/>
      <c r="AO2297" s="340"/>
      <c r="AS2297" s="340"/>
      <c r="AX2297" s="340"/>
      <c r="BB2297" s="340"/>
      <c r="BD2297" s="339"/>
    </row>
    <row r="2298" spans="7:56" s="338" customFormat="1">
      <c r="G2298" s="340"/>
      <c r="L2298" s="340"/>
      <c r="P2298" s="340"/>
      <c r="U2298" s="340"/>
      <c r="V2298" s="340"/>
      <c r="Z2298" s="340"/>
      <c r="AE2298" s="340"/>
      <c r="AI2298" s="340"/>
      <c r="AN2298" s="340"/>
      <c r="AO2298" s="340"/>
      <c r="AS2298" s="340"/>
      <c r="AX2298" s="340"/>
      <c r="BB2298" s="340"/>
      <c r="BD2298" s="339"/>
    </row>
    <row r="2299" spans="7:56" s="338" customFormat="1">
      <c r="G2299" s="340"/>
      <c r="L2299" s="340"/>
      <c r="P2299" s="340"/>
      <c r="U2299" s="340"/>
      <c r="V2299" s="340"/>
      <c r="Z2299" s="340"/>
      <c r="AE2299" s="340"/>
      <c r="AI2299" s="340"/>
      <c r="AN2299" s="340"/>
      <c r="AO2299" s="340"/>
      <c r="AS2299" s="340"/>
      <c r="AX2299" s="340"/>
      <c r="BB2299" s="340"/>
      <c r="BD2299" s="339"/>
    </row>
    <row r="2300" spans="7:56" s="338" customFormat="1">
      <c r="G2300" s="340"/>
      <c r="L2300" s="340"/>
      <c r="P2300" s="340"/>
      <c r="U2300" s="340"/>
      <c r="V2300" s="340"/>
      <c r="Z2300" s="340"/>
      <c r="AE2300" s="340"/>
      <c r="AI2300" s="340"/>
      <c r="AN2300" s="340"/>
      <c r="AO2300" s="340"/>
      <c r="AS2300" s="340"/>
      <c r="AX2300" s="340"/>
      <c r="BB2300" s="340"/>
      <c r="BD2300" s="339"/>
    </row>
    <row r="2301" spans="7:56" s="338" customFormat="1">
      <c r="G2301" s="340"/>
      <c r="L2301" s="340"/>
      <c r="P2301" s="340"/>
      <c r="U2301" s="340"/>
      <c r="V2301" s="340"/>
      <c r="Z2301" s="340"/>
      <c r="AE2301" s="340"/>
      <c r="AI2301" s="340"/>
      <c r="AN2301" s="340"/>
      <c r="AO2301" s="340"/>
      <c r="AS2301" s="340"/>
      <c r="AX2301" s="340"/>
      <c r="BB2301" s="340"/>
      <c r="BD2301" s="339"/>
    </row>
    <row r="2302" spans="7:56" s="338" customFormat="1">
      <c r="G2302" s="340"/>
      <c r="L2302" s="340"/>
      <c r="P2302" s="340"/>
      <c r="U2302" s="340"/>
      <c r="V2302" s="340"/>
      <c r="Z2302" s="340"/>
      <c r="AE2302" s="340"/>
      <c r="AI2302" s="340"/>
      <c r="AN2302" s="340"/>
      <c r="AO2302" s="340"/>
      <c r="AS2302" s="340"/>
      <c r="AX2302" s="340"/>
      <c r="BB2302" s="340"/>
      <c r="BD2302" s="339"/>
    </row>
    <row r="2303" spans="7:56" s="338" customFormat="1">
      <c r="G2303" s="340"/>
      <c r="L2303" s="340"/>
      <c r="P2303" s="340"/>
      <c r="U2303" s="340"/>
      <c r="V2303" s="340"/>
      <c r="Z2303" s="340"/>
      <c r="AE2303" s="340"/>
      <c r="AI2303" s="340"/>
      <c r="AN2303" s="340"/>
      <c r="AO2303" s="340"/>
      <c r="AS2303" s="340"/>
      <c r="AX2303" s="340"/>
      <c r="BB2303" s="340"/>
      <c r="BD2303" s="339"/>
    </row>
    <row r="2304" spans="7:56" s="338" customFormat="1">
      <c r="G2304" s="340"/>
      <c r="L2304" s="340"/>
      <c r="P2304" s="340"/>
      <c r="U2304" s="340"/>
      <c r="V2304" s="340"/>
      <c r="Z2304" s="340"/>
      <c r="AE2304" s="340"/>
      <c r="AI2304" s="340"/>
      <c r="AN2304" s="340"/>
      <c r="AO2304" s="340"/>
      <c r="AS2304" s="340"/>
      <c r="AX2304" s="340"/>
      <c r="BB2304" s="340"/>
      <c r="BD2304" s="339"/>
    </row>
    <row r="2305" spans="7:56" s="338" customFormat="1">
      <c r="G2305" s="340"/>
      <c r="L2305" s="340"/>
      <c r="P2305" s="340"/>
      <c r="U2305" s="340"/>
      <c r="V2305" s="340"/>
      <c r="Z2305" s="340"/>
      <c r="AE2305" s="340"/>
      <c r="AI2305" s="340"/>
      <c r="AN2305" s="340"/>
      <c r="AO2305" s="340"/>
      <c r="AS2305" s="340"/>
      <c r="AX2305" s="340"/>
      <c r="BB2305" s="340"/>
      <c r="BD2305" s="339"/>
    </row>
    <row r="2306" spans="7:56" s="338" customFormat="1">
      <c r="G2306" s="340"/>
      <c r="L2306" s="340"/>
      <c r="P2306" s="340"/>
      <c r="U2306" s="340"/>
      <c r="V2306" s="340"/>
      <c r="Z2306" s="340"/>
      <c r="AE2306" s="340"/>
      <c r="AI2306" s="340"/>
      <c r="AN2306" s="340"/>
      <c r="AO2306" s="340"/>
      <c r="AS2306" s="340"/>
      <c r="AX2306" s="340"/>
      <c r="BB2306" s="340"/>
      <c r="BD2306" s="339"/>
    </row>
    <row r="2307" spans="7:56" s="338" customFormat="1">
      <c r="G2307" s="340"/>
      <c r="L2307" s="340"/>
      <c r="P2307" s="340"/>
      <c r="U2307" s="340"/>
      <c r="V2307" s="340"/>
      <c r="Z2307" s="340"/>
      <c r="AE2307" s="340"/>
      <c r="AI2307" s="340"/>
      <c r="AN2307" s="340"/>
      <c r="AO2307" s="340"/>
      <c r="AS2307" s="340"/>
      <c r="AX2307" s="340"/>
      <c r="BB2307" s="340"/>
      <c r="BD2307" s="339"/>
    </row>
    <row r="2308" spans="7:56" s="338" customFormat="1">
      <c r="G2308" s="340"/>
      <c r="L2308" s="340"/>
      <c r="P2308" s="340"/>
      <c r="U2308" s="340"/>
      <c r="V2308" s="340"/>
      <c r="Z2308" s="340"/>
      <c r="AE2308" s="340"/>
      <c r="AI2308" s="340"/>
      <c r="AN2308" s="340"/>
      <c r="AO2308" s="340"/>
      <c r="AS2308" s="340"/>
      <c r="AX2308" s="340"/>
      <c r="BB2308" s="340"/>
      <c r="BD2308" s="339"/>
    </row>
    <row r="2309" spans="7:56" s="338" customFormat="1">
      <c r="G2309" s="340"/>
      <c r="L2309" s="340"/>
      <c r="P2309" s="340"/>
      <c r="U2309" s="340"/>
      <c r="V2309" s="340"/>
      <c r="Z2309" s="340"/>
      <c r="AE2309" s="340"/>
      <c r="AI2309" s="340"/>
      <c r="AN2309" s="340"/>
      <c r="AO2309" s="340"/>
      <c r="AS2309" s="340"/>
      <c r="AX2309" s="340"/>
      <c r="BB2309" s="340"/>
      <c r="BD2309" s="339"/>
    </row>
    <row r="2310" spans="7:56" s="338" customFormat="1">
      <c r="G2310" s="340"/>
      <c r="L2310" s="340"/>
      <c r="P2310" s="340"/>
      <c r="U2310" s="340"/>
      <c r="V2310" s="340"/>
      <c r="Z2310" s="340"/>
      <c r="AE2310" s="340"/>
      <c r="AI2310" s="340"/>
      <c r="AN2310" s="340"/>
      <c r="AO2310" s="340"/>
      <c r="AS2310" s="340"/>
      <c r="AX2310" s="340"/>
      <c r="BB2310" s="340"/>
      <c r="BD2310" s="339"/>
    </row>
    <row r="2311" spans="7:56" s="338" customFormat="1">
      <c r="G2311" s="340"/>
      <c r="L2311" s="340"/>
      <c r="P2311" s="340"/>
      <c r="U2311" s="340"/>
      <c r="V2311" s="340"/>
      <c r="Z2311" s="340"/>
      <c r="AE2311" s="340"/>
      <c r="AI2311" s="340"/>
      <c r="AN2311" s="340"/>
      <c r="AO2311" s="340"/>
      <c r="AS2311" s="340"/>
      <c r="AX2311" s="340"/>
      <c r="BB2311" s="340"/>
      <c r="BD2311" s="339"/>
    </row>
    <row r="2312" spans="7:56" s="338" customFormat="1">
      <c r="G2312" s="340"/>
      <c r="L2312" s="340"/>
      <c r="P2312" s="340"/>
      <c r="U2312" s="340"/>
      <c r="V2312" s="340"/>
      <c r="Z2312" s="340"/>
      <c r="AE2312" s="340"/>
      <c r="AI2312" s="340"/>
      <c r="AN2312" s="340"/>
      <c r="AO2312" s="340"/>
      <c r="AS2312" s="340"/>
      <c r="AX2312" s="340"/>
      <c r="BB2312" s="340"/>
      <c r="BD2312" s="339"/>
    </row>
    <row r="2313" spans="7:56" s="338" customFormat="1">
      <c r="G2313" s="340"/>
      <c r="L2313" s="340"/>
      <c r="P2313" s="340"/>
      <c r="U2313" s="340"/>
      <c r="V2313" s="340"/>
      <c r="Z2313" s="340"/>
      <c r="AE2313" s="340"/>
      <c r="AI2313" s="340"/>
      <c r="AN2313" s="340"/>
      <c r="AO2313" s="340"/>
      <c r="AS2313" s="340"/>
      <c r="AX2313" s="340"/>
      <c r="BB2313" s="340"/>
      <c r="BD2313" s="339"/>
    </row>
    <row r="2314" spans="7:56" s="338" customFormat="1">
      <c r="G2314" s="340"/>
      <c r="L2314" s="340"/>
      <c r="P2314" s="340"/>
      <c r="U2314" s="340"/>
      <c r="V2314" s="340"/>
      <c r="Z2314" s="340"/>
      <c r="AE2314" s="340"/>
      <c r="AI2314" s="340"/>
      <c r="AN2314" s="340"/>
      <c r="AO2314" s="340"/>
      <c r="AS2314" s="340"/>
      <c r="AX2314" s="340"/>
      <c r="BB2314" s="340"/>
      <c r="BD2314" s="339"/>
    </row>
    <row r="2315" spans="7:56" s="338" customFormat="1">
      <c r="G2315" s="340"/>
      <c r="L2315" s="340"/>
      <c r="P2315" s="340"/>
      <c r="U2315" s="340"/>
      <c r="V2315" s="340"/>
      <c r="Z2315" s="340"/>
      <c r="AE2315" s="340"/>
      <c r="AI2315" s="340"/>
      <c r="AN2315" s="340"/>
      <c r="AO2315" s="340"/>
      <c r="AS2315" s="340"/>
      <c r="AX2315" s="340"/>
      <c r="BB2315" s="340"/>
      <c r="BD2315" s="339"/>
    </row>
    <row r="2316" spans="7:56" s="338" customFormat="1">
      <c r="G2316" s="340"/>
      <c r="L2316" s="340"/>
      <c r="P2316" s="340"/>
      <c r="U2316" s="340"/>
      <c r="V2316" s="340"/>
      <c r="Z2316" s="340"/>
      <c r="AE2316" s="340"/>
      <c r="AI2316" s="340"/>
      <c r="AN2316" s="340"/>
      <c r="AO2316" s="340"/>
      <c r="AS2316" s="340"/>
      <c r="AX2316" s="340"/>
      <c r="BB2316" s="340"/>
      <c r="BD2316" s="339"/>
    </row>
    <row r="2317" spans="7:56" s="338" customFormat="1">
      <c r="G2317" s="340"/>
      <c r="L2317" s="340"/>
      <c r="P2317" s="340"/>
      <c r="U2317" s="340"/>
      <c r="V2317" s="340"/>
      <c r="Z2317" s="340"/>
      <c r="AE2317" s="340"/>
      <c r="AI2317" s="340"/>
      <c r="AN2317" s="340"/>
      <c r="AO2317" s="340"/>
      <c r="AS2317" s="340"/>
      <c r="AX2317" s="340"/>
      <c r="BB2317" s="340"/>
      <c r="BD2317" s="339"/>
    </row>
    <row r="2318" spans="7:56" s="338" customFormat="1">
      <c r="G2318" s="340"/>
      <c r="L2318" s="340"/>
      <c r="P2318" s="340"/>
      <c r="U2318" s="340"/>
      <c r="V2318" s="340"/>
      <c r="Z2318" s="340"/>
      <c r="AE2318" s="340"/>
      <c r="AI2318" s="340"/>
      <c r="AN2318" s="340"/>
      <c r="AO2318" s="340"/>
      <c r="AS2318" s="340"/>
      <c r="AX2318" s="340"/>
      <c r="BB2318" s="340"/>
      <c r="BD2318" s="339"/>
    </row>
    <row r="2319" spans="7:56" s="338" customFormat="1">
      <c r="G2319" s="340"/>
      <c r="L2319" s="340"/>
      <c r="P2319" s="340"/>
      <c r="U2319" s="340"/>
      <c r="V2319" s="340"/>
      <c r="Z2319" s="340"/>
      <c r="AE2319" s="340"/>
      <c r="AI2319" s="340"/>
      <c r="AN2319" s="340"/>
      <c r="AO2319" s="340"/>
      <c r="AS2319" s="340"/>
      <c r="AX2319" s="340"/>
      <c r="BB2319" s="340"/>
      <c r="BD2319" s="339"/>
    </row>
    <row r="2320" spans="7:56" s="338" customFormat="1">
      <c r="G2320" s="340"/>
      <c r="L2320" s="340"/>
      <c r="P2320" s="340"/>
      <c r="U2320" s="340"/>
      <c r="V2320" s="340"/>
      <c r="Z2320" s="340"/>
      <c r="AE2320" s="340"/>
      <c r="AI2320" s="340"/>
      <c r="AN2320" s="340"/>
      <c r="AO2320" s="340"/>
      <c r="AS2320" s="340"/>
      <c r="AX2320" s="340"/>
      <c r="BB2320" s="340"/>
      <c r="BD2320" s="339"/>
    </row>
    <row r="2321" spans="7:56" s="338" customFormat="1">
      <c r="G2321" s="340"/>
      <c r="L2321" s="340"/>
      <c r="P2321" s="340"/>
      <c r="U2321" s="340"/>
      <c r="V2321" s="340"/>
      <c r="Z2321" s="340"/>
      <c r="AE2321" s="340"/>
      <c r="AI2321" s="340"/>
      <c r="AN2321" s="340"/>
      <c r="AO2321" s="340"/>
      <c r="AS2321" s="340"/>
      <c r="AX2321" s="340"/>
      <c r="BB2321" s="340"/>
      <c r="BD2321" s="339"/>
    </row>
    <row r="2322" spans="7:56" s="338" customFormat="1">
      <c r="G2322" s="340"/>
      <c r="L2322" s="340"/>
      <c r="P2322" s="340"/>
      <c r="U2322" s="340"/>
      <c r="V2322" s="340"/>
      <c r="Z2322" s="340"/>
      <c r="AE2322" s="340"/>
      <c r="AI2322" s="340"/>
      <c r="AN2322" s="340"/>
      <c r="AO2322" s="340"/>
      <c r="AS2322" s="340"/>
      <c r="AX2322" s="340"/>
      <c r="BB2322" s="340"/>
      <c r="BD2322" s="339"/>
    </row>
    <row r="2323" spans="7:56" s="338" customFormat="1">
      <c r="G2323" s="340"/>
      <c r="L2323" s="340"/>
      <c r="P2323" s="340"/>
      <c r="U2323" s="340"/>
      <c r="V2323" s="340"/>
      <c r="Z2323" s="340"/>
      <c r="AE2323" s="340"/>
      <c r="AI2323" s="340"/>
      <c r="AN2323" s="340"/>
      <c r="AO2323" s="340"/>
      <c r="AS2323" s="340"/>
      <c r="AX2323" s="340"/>
      <c r="BB2323" s="340"/>
      <c r="BD2323" s="339"/>
    </row>
    <row r="2324" spans="7:56" s="338" customFormat="1">
      <c r="G2324" s="340"/>
      <c r="L2324" s="340"/>
      <c r="P2324" s="340"/>
      <c r="U2324" s="340"/>
      <c r="V2324" s="340"/>
      <c r="Z2324" s="340"/>
      <c r="AE2324" s="340"/>
      <c r="AI2324" s="340"/>
      <c r="AN2324" s="340"/>
      <c r="AO2324" s="340"/>
      <c r="AS2324" s="340"/>
      <c r="AX2324" s="340"/>
      <c r="BB2324" s="340"/>
      <c r="BD2324" s="339"/>
    </row>
    <row r="2325" spans="7:56" s="338" customFormat="1">
      <c r="G2325" s="340"/>
      <c r="L2325" s="340"/>
      <c r="P2325" s="340"/>
      <c r="U2325" s="340"/>
      <c r="V2325" s="340"/>
      <c r="Z2325" s="340"/>
      <c r="AE2325" s="340"/>
      <c r="AI2325" s="340"/>
      <c r="AN2325" s="340"/>
      <c r="AO2325" s="340"/>
      <c r="AS2325" s="340"/>
      <c r="AX2325" s="340"/>
      <c r="BB2325" s="340"/>
      <c r="BD2325" s="339"/>
    </row>
    <row r="2326" spans="7:56" s="338" customFormat="1">
      <c r="G2326" s="340"/>
      <c r="L2326" s="340"/>
      <c r="P2326" s="340"/>
      <c r="U2326" s="340"/>
      <c r="V2326" s="340"/>
      <c r="Z2326" s="340"/>
      <c r="AE2326" s="340"/>
      <c r="AI2326" s="340"/>
      <c r="AN2326" s="340"/>
      <c r="AO2326" s="340"/>
      <c r="AS2326" s="340"/>
      <c r="AX2326" s="340"/>
      <c r="BB2326" s="340"/>
      <c r="BD2326" s="339"/>
    </row>
    <row r="2327" spans="7:56" s="338" customFormat="1">
      <c r="G2327" s="340"/>
      <c r="L2327" s="340"/>
      <c r="P2327" s="340"/>
      <c r="U2327" s="340"/>
      <c r="V2327" s="340"/>
      <c r="Z2327" s="340"/>
      <c r="AE2327" s="340"/>
      <c r="AI2327" s="340"/>
      <c r="AN2327" s="340"/>
      <c r="AO2327" s="340"/>
      <c r="AS2327" s="340"/>
      <c r="AX2327" s="340"/>
      <c r="BB2327" s="340"/>
      <c r="BD2327" s="339"/>
    </row>
    <row r="2328" spans="7:56" s="338" customFormat="1">
      <c r="G2328" s="340"/>
      <c r="L2328" s="340"/>
      <c r="P2328" s="340"/>
      <c r="U2328" s="340"/>
      <c r="V2328" s="340"/>
      <c r="Z2328" s="340"/>
      <c r="AE2328" s="340"/>
      <c r="AI2328" s="340"/>
      <c r="AN2328" s="340"/>
      <c r="AO2328" s="340"/>
      <c r="AS2328" s="340"/>
      <c r="AX2328" s="340"/>
      <c r="BB2328" s="340"/>
      <c r="BD2328" s="339"/>
    </row>
    <row r="2329" spans="7:56" s="338" customFormat="1">
      <c r="G2329" s="340"/>
      <c r="L2329" s="340"/>
      <c r="P2329" s="340"/>
      <c r="U2329" s="340"/>
      <c r="V2329" s="340"/>
      <c r="Z2329" s="340"/>
      <c r="AE2329" s="340"/>
      <c r="AI2329" s="340"/>
      <c r="AN2329" s="340"/>
      <c r="AO2329" s="340"/>
      <c r="AS2329" s="340"/>
      <c r="AX2329" s="340"/>
      <c r="BB2329" s="340"/>
      <c r="BD2329" s="339"/>
    </row>
    <row r="2330" spans="7:56" s="338" customFormat="1">
      <c r="G2330" s="340"/>
      <c r="L2330" s="340"/>
      <c r="P2330" s="340"/>
      <c r="U2330" s="340"/>
      <c r="V2330" s="340"/>
      <c r="Z2330" s="340"/>
      <c r="AE2330" s="340"/>
      <c r="AI2330" s="340"/>
      <c r="AN2330" s="340"/>
      <c r="AO2330" s="340"/>
      <c r="AS2330" s="340"/>
      <c r="AX2330" s="340"/>
      <c r="BB2330" s="340"/>
      <c r="BD2330" s="339"/>
    </row>
    <row r="2331" spans="7:56" s="338" customFormat="1">
      <c r="G2331" s="340"/>
      <c r="L2331" s="340"/>
      <c r="P2331" s="340"/>
      <c r="U2331" s="340"/>
      <c r="V2331" s="340"/>
      <c r="Z2331" s="340"/>
      <c r="AE2331" s="340"/>
      <c r="AI2331" s="340"/>
      <c r="AN2331" s="340"/>
      <c r="AO2331" s="340"/>
      <c r="AS2331" s="340"/>
      <c r="AX2331" s="340"/>
      <c r="BB2331" s="340"/>
      <c r="BD2331" s="339"/>
    </row>
    <row r="2332" spans="7:56" s="338" customFormat="1">
      <c r="G2332" s="340"/>
      <c r="L2332" s="340"/>
      <c r="P2332" s="340"/>
      <c r="U2332" s="340"/>
      <c r="V2332" s="340"/>
      <c r="Z2332" s="340"/>
      <c r="AE2332" s="340"/>
      <c r="AI2332" s="340"/>
      <c r="AN2332" s="340"/>
      <c r="AO2332" s="340"/>
      <c r="AS2332" s="340"/>
      <c r="AX2332" s="340"/>
      <c r="BB2332" s="340"/>
      <c r="BD2332" s="339"/>
    </row>
    <row r="2333" spans="7:56" s="338" customFormat="1">
      <c r="G2333" s="340"/>
      <c r="L2333" s="340"/>
      <c r="P2333" s="340"/>
      <c r="U2333" s="340"/>
      <c r="V2333" s="340"/>
      <c r="Z2333" s="340"/>
      <c r="AE2333" s="340"/>
      <c r="AI2333" s="340"/>
      <c r="AN2333" s="340"/>
      <c r="AO2333" s="340"/>
      <c r="AS2333" s="340"/>
      <c r="AX2333" s="340"/>
      <c r="BB2333" s="340"/>
      <c r="BD2333" s="339"/>
    </row>
    <row r="2334" spans="7:56" s="338" customFormat="1">
      <c r="G2334" s="340"/>
      <c r="L2334" s="340"/>
      <c r="P2334" s="340"/>
      <c r="U2334" s="340"/>
      <c r="V2334" s="340"/>
      <c r="Z2334" s="340"/>
      <c r="AE2334" s="340"/>
      <c r="AI2334" s="340"/>
      <c r="AN2334" s="340"/>
      <c r="AO2334" s="340"/>
      <c r="AS2334" s="340"/>
      <c r="AX2334" s="340"/>
      <c r="BB2334" s="340"/>
      <c r="BD2334" s="339"/>
    </row>
    <row r="2335" spans="7:56" s="338" customFormat="1">
      <c r="G2335" s="340"/>
      <c r="L2335" s="340"/>
      <c r="P2335" s="340"/>
      <c r="U2335" s="340"/>
      <c r="V2335" s="340"/>
      <c r="Z2335" s="340"/>
      <c r="AE2335" s="340"/>
      <c r="AI2335" s="340"/>
      <c r="AN2335" s="340"/>
      <c r="AO2335" s="340"/>
      <c r="AS2335" s="340"/>
      <c r="AX2335" s="340"/>
      <c r="BB2335" s="340"/>
      <c r="BD2335" s="339"/>
    </row>
    <row r="2336" spans="7:56" s="338" customFormat="1">
      <c r="G2336" s="340"/>
      <c r="L2336" s="340"/>
      <c r="P2336" s="340"/>
      <c r="U2336" s="340"/>
      <c r="V2336" s="340"/>
      <c r="Z2336" s="340"/>
      <c r="AE2336" s="340"/>
      <c r="AI2336" s="340"/>
      <c r="AN2336" s="340"/>
      <c r="AO2336" s="340"/>
      <c r="AS2336" s="340"/>
      <c r="AX2336" s="340"/>
      <c r="BB2336" s="340"/>
      <c r="BD2336" s="339"/>
    </row>
    <row r="2337" spans="7:56" s="338" customFormat="1">
      <c r="G2337" s="340"/>
      <c r="L2337" s="340"/>
      <c r="P2337" s="340"/>
      <c r="U2337" s="340"/>
      <c r="V2337" s="340"/>
      <c r="Z2337" s="340"/>
      <c r="AE2337" s="340"/>
      <c r="AI2337" s="340"/>
      <c r="AN2337" s="340"/>
      <c r="AO2337" s="340"/>
      <c r="AS2337" s="340"/>
      <c r="AX2337" s="340"/>
      <c r="BB2337" s="340"/>
      <c r="BD2337" s="339"/>
    </row>
    <row r="2338" spans="7:56" s="338" customFormat="1">
      <c r="G2338" s="340"/>
      <c r="L2338" s="340"/>
      <c r="P2338" s="340"/>
      <c r="U2338" s="340"/>
      <c r="V2338" s="340"/>
      <c r="Z2338" s="340"/>
      <c r="AE2338" s="340"/>
      <c r="AI2338" s="340"/>
      <c r="AN2338" s="340"/>
      <c r="AO2338" s="340"/>
      <c r="AS2338" s="340"/>
      <c r="AX2338" s="340"/>
      <c r="BB2338" s="340"/>
      <c r="BD2338" s="339"/>
    </row>
    <row r="2339" spans="7:56" s="338" customFormat="1">
      <c r="G2339" s="340"/>
      <c r="L2339" s="340"/>
      <c r="P2339" s="340"/>
      <c r="U2339" s="340"/>
      <c r="V2339" s="340"/>
      <c r="Z2339" s="340"/>
      <c r="AE2339" s="340"/>
      <c r="AI2339" s="340"/>
      <c r="AN2339" s="340"/>
      <c r="AO2339" s="340"/>
      <c r="AS2339" s="340"/>
      <c r="AX2339" s="340"/>
      <c r="BB2339" s="340"/>
      <c r="BD2339" s="339"/>
    </row>
    <row r="2340" spans="7:56" s="338" customFormat="1">
      <c r="G2340" s="340"/>
      <c r="L2340" s="340"/>
      <c r="P2340" s="340"/>
      <c r="U2340" s="340"/>
      <c r="V2340" s="340"/>
      <c r="Z2340" s="340"/>
      <c r="AE2340" s="340"/>
      <c r="AI2340" s="340"/>
      <c r="AN2340" s="340"/>
      <c r="AO2340" s="340"/>
      <c r="AS2340" s="340"/>
      <c r="AX2340" s="340"/>
      <c r="BB2340" s="340"/>
      <c r="BD2340" s="339"/>
    </row>
    <row r="2341" spans="7:56" s="338" customFormat="1">
      <c r="G2341" s="340"/>
      <c r="L2341" s="340"/>
      <c r="P2341" s="340"/>
      <c r="U2341" s="340"/>
      <c r="V2341" s="340"/>
      <c r="Z2341" s="340"/>
      <c r="AE2341" s="340"/>
      <c r="AI2341" s="340"/>
      <c r="AN2341" s="340"/>
      <c r="AO2341" s="340"/>
      <c r="AS2341" s="340"/>
      <c r="AX2341" s="340"/>
      <c r="BB2341" s="340"/>
      <c r="BD2341" s="339"/>
    </row>
    <row r="2342" spans="7:56" s="338" customFormat="1">
      <c r="G2342" s="340"/>
      <c r="L2342" s="340"/>
      <c r="P2342" s="340"/>
      <c r="U2342" s="340"/>
      <c r="V2342" s="340"/>
      <c r="Z2342" s="340"/>
      <c r="AE2342" s="340"/>
      <c r="AI2342" s="340"/>
      <c r="AN2342" s="340"/>
      <c r="AO2342" s="340"/>
      <c r="AS2342" s="340"/>
      <c r="AX2342" s="340"/>
      <c r="BB2342" s="340"/>
      <c r="BD2342" s="339"/>
    </row>
    <row r="2343" spans="7:56" s="338" customFormat="1">
      <c r="G2343" s="340"/>
      <c r="L2343" s="340"/>
      <c r="P2343" s="340"/>
      <c r="U2343" s="340"/>
      <c r="V2343" s="340"/>
      <c r="Z2343" s="340"/>
      <c r="AE2343" s="340"/>
      <c r="AI2343" s="340"/>
      <c r="AN2343" s="340"/>
      <c r="AO2343" s="340"/>
      <c r="AS2343" s="340"/>
      <c r="AX2343" s="340"/>
      <c r="BB2343" s="340"/>
      <c r="BD2343" s="339"/>
    </row>
    <row r="2344" spans="7:56" s="338" customFormat="1">
      <c r="G2344" s="340"/>
      <c r="L2344" s="340"/>
      <c r="P2344" s="340"/>
      <c r="U2344" s="340"/>
      <c r="V2344" s="340"/>
      <c r="Z2344" s="340"/>
      <c r="AE2344" s="340"/>
      <c r="AI2344" s="340"/>
      <c r="AN2344" s="340"/>
      <c r="AO2344" s="340"/>
      <c r="AS2344" s="340"/>
      <c r="AX2344" s="340"/>
      <c r="BB2344" s="340"/>
      <c r="BD2344" s="339"/>
    </row>
    <row r="2345" spans="7:56" s="338" customFormat="1">
      <c r="G2345" s="340"/>
      <c r="L2345" s="340"/>
      <c r="P2345" s="340"/>
      <c r="U2345" s="340"/>
      <c r="V2345" s="340"/>
      <c r="Z2345" s="340"/>
      <c r="AE2345" s="340"/>
      <c r="AI2345" s="340"/>
      <c r="AN2345" s="340"/>
      <c r="AO2345" s="340"/>
      <c r="AS2345" s="340"/>
      <c r="AX2345" s="340"/>
      <c r="BB2345" s="340"/>
      <c r="BD2345" s="339"/>
    </row>
    <row r="2346" spans="7:56" s="338" customFormat="1">
      <c r="G2346" s="340"/>
      <c r="L2346" s="340"/>
      <c r="P2346" s="340"/>
      <c r="U2346" s="340"/>
      <c r="V2346" s="340"/>
      <c r="Z2346" s="340"/>
      <c r="AE2346" s="340"/>
      <c r="AI2346" s="340"/>
      <c r="AN2346" s="340"/>
      <c r="AO2346" s="340"/>
      <c r="AS2346" s="340"/>
      <c r="AX2346" s="340"/>
      <c r="BB2346" s="340"/>
      <c r="BD2346" s="339"/>
    </row>
    <row r="2347" spans="7:56" s="338" customFormat="1">
      <c r="G2347" s="340"/>
      <c r="L2347" s="340"/>
      <c r="P2347" s="340"/>
      <c r="U2347" s="340"/>
      <c r="V2347" s="340"/>
      <c r="Z2347" s="340"/>
      <c r="AE2347" s="340"/>
      <c r="AI2347" s="340"/>
      <c r="AN2347" s="340"/>
      <c r="AO2347" s="340"/>
      <c r="AS2347" s="340"/>
      <c r="AX2347" s="340"/>
      <c r="BB2347" s="340"/>
      <c r="BD2347" s="339"/>
    </row>
    <row r="2348" spans="7:56" s="338" customFormat="1">
      <c r="G2348" s="340"/>
      <c r="L2348" s="340"/>
      <c r="P2348" s="340"/>
      <c r="U2348" s="340"/>
      <c r="V2348" s="340"/>
      <c r="Z2348" s="340"/>
      <c r="AE2348" s="340"/>
      <c r="AI2348" s="340"/>
      <c r="AN2348" s="340"/>
      <c r="AO2348" s="340"/>
      <c r="AS2348" s="340"/>
      <c r="AX2348" s="340"/>
      <c r="BB2348" s="340"/>
      <c r="BD2348" s="339"/>
    </row>
    <row r="2349" spans="7:56" s="338" customFormat="1">
      <c r="G2349" s="340"/>
      <c r="L2349" s="340"/>
      <c r="P2349" s="340"/>
      <c r="U2349" s="340"/>
      <c r="V2349" s="340"/>
      <c r="Z2349" s="340"/>
      <c r="AE2349" s="340"/>
      <c r="AI2349" s="340"/>
      <c r="AN2349" s="340"/>
      <c r="AO2349" s="340"/>
      <c r="AS2349" s="340"/>
      <c r="AX2349" s="340"/>
      <c r="BB2349" s="340"/>
      <c r="BD2349" s="339"/>
    </row>
    <row r="2350" spans="7:56" s="338" customFormat="1">
      <c r="G2350" s="340"/>
      <c r="L2350" s="340"/>
      <c r="P2350" s="340"/>
      <c r="U2350" s="340"/>
      <c r="V2350" s="340"/>
      <c r="Z2350" s="340"/>
      <c r="AE2350" s="340"/>
      <c r="AI2350" s="340"/>
      <c r="AN2350" s="340"/>
      <c r="AO2350" s="340"/>
      <c r="AS2350" s="340"/>
      <c r="AX2350" s="340"/>
      <c r="BB2350" s="340"/>
      <c r="BD2350" s="339"/>
    </row>
    <row r="2351" spans="7:56" s="338" customFormat="1">
      <c r="G2351" s="340"/>
      <c r="L2351" s="340"/>
      <c r="P2351" s="340"/>
      <c r="U2351" s="340"/>
      <c r="V2351" s="340"/>
      <c r="Z2351" s="340"/>
      <c r="AE2351" s="340"/>
      <c r="AI2351" s="340"/>
      <c r="AN2351" s="340"/>
      <c r="AO2351" s="340"/>
      <c r="AS2351" s="340"/>
      <c r="AX2351" s="340"/>
      <c r="BB2351" s="340"/>
      <c r="BD2351" s="339"/>
    </row>
    <row r="2352" spans="7:56" s="338" customFormat="1">
      <c r="G2352" s="340"/>
      <c r="L2352" s="340"/>
      <c r="P2352" s="340"/>
      <c r="U2352" s="340"/>
      <c r="V2352" s="340"/>
      <c r="Z2352" s="340"/>
      <c r="AE2352" s="340"/>
      <c r="AI2352" s="340"/>
      <c r="AN2352" s="340"/>
      <c r="AO2352" s="340"/>
      <c r="AS2352" s="340"/>
      <c r="AX2352" s="340"/>
      <c r="BB2352" s="340"/>
      <c r="BD2352" s="339"/>
    </row>
    <row r="2353" spans="7:56" s="338" customFormat="1">
      <c r="G2353" s="340"/>
      <c r="L2353" s="340"/>
      <c r="P2353" s="340"/>
      <c r="U2353" s="340"/>
      <c r="V2353" s="340"/>
      <c r="Z2353" s="340"/>
      <c r="AE2353" s="340"/>
      <c r="AI2353" s="340"/>
      <c r="AN2353" s="340"/>
      <c r="AO2353" s="340"/>
      <c r="AS2353" s="340"/>
      <c r="AX2353" s="340"/>
      <c r="BB2353" s="340"/>
      <c r="BD2353" s="339"/>
    </row>
    <row r="2354" spans="7:56" s="338" customFormat="1">
      <c r="G2354" s="340"/>
      <c r="L2354" s="340"/>
      <c r="P2354" s="340"/>
      <c r="U2354" s="340"/>
      <c r="V2354" s="340"/>
      <c r="Z2354" s="340"/>
      <c r="AE2354" s="340"/>
      <c r="AI2354" s="340"/>
      <c r="AN2354" s="340"/>
      <c r="AO2354" s="340"/>
      <c r="AS2354" s="340"/>
      <c r="AX2354" s="340"/>
      <c r="BB2354" s="340"/>
      <c r="BD2354" s="339"/>
    </row>
    <row r="2355" spans="7:56" s="338" customFormat="1">
      <c r="G2355" s="340"/>
      <c r="L2355" s="340"/>
      <c r="P2355" s="340"/>
      <c r="U2355" s="340"/>
      <c r="V2355" s="340"/>
      <c r="Z2355" s="340"/>
      <c r="AE2355" s="340"/>
      <c r="AI2355" s="340"/>
      <c r="AN2355" s="340"/>
      <c r="AO2355" s="340"/>
      <c r="AS2355" s="340"/>
      <c r="AX2355" s="340"/>
      <c r="BB2355" s="340"/>
      <c r="BD2355" s="339"/>
    </row>
    <row r="2356" spans="7:56" s="338" customFormat="1">
      <c r="G2356" s="340"/>
      <c r="L2356" s="340"/>
      <c r="P2356" s="340"/>
      <c r="U2356" s="340"/>
      <c r="V2356" s="340"/>
      <c r="Z2356" s="340"/>
      <c r="AE2356" s="340"/>
      <c r="AI2356" s="340"/>
      <c r="AN2356" s="340"/>
      <c r="AO2356" s="340"/>
      <c r="AS2356" s="340"/>
      <c r="AX2356" s="340"/>
      <c r="BB2356" s="340"/>
      <c r="BD2356" s="339"/>
    </row>
    <row r="2357" spans="7:56" s="338" customFormat="1">
      <c r="G2357" s="340"/>
      <c r="L2357" s="340"/>
      <c r="P2357" s="340"/>
      <c r="U2357" s="340"/>
      <c r="V2357" s="340"/>
      <c r="Z2357" s="340"/>
      <c r="AE2357" s="340"/>
      <c r="AI2357" s="340"/>
      <c r="AN2357" s="340"/>
      <c r="AO2357" s="340"/>
      <c r="AS2357" s="340"/>
      <c r="AX2357" s="340"/>
      <c r="BB2357" s="340"/>
      <c r="BD2357" s="339"/>
    </row>
    <row r="2358" spans="7:56" s="338" customFormat="1">
      <c r="G2358" s="340"/>
      <c r="L2358" s="340"/>
      <c r="P2358" s="340"/>
      <c r="U2358" s="340"/>
      <c r="V2358" s="340"/>
      <c r="Z2358" s="340"/>
      <c r="AE2358" s="340"/>
      <c r="AI2358" s="340"/>
      <c r="AN2358" s="340"/>
      <c r="AO2358" s="340"/>
      <c r="AS2358" s="340"/>
      <c r="AX2358" s="340"/>
      <c r="BB2358" s="340"/>
      <c r="BD2358" s="339"/>
    </row>
    <row r="2359" spans="7:56" s="338" customFormat="1">
      <c r="G2359" s="340"/>
      <c r="L2359" s="340"/>
      <c r="P2359" s="340"/>
      <c r="U2359" s="340"/>
      <c r="V2359" s="340"/>
      <c r="Z2359" s="340"/>
      <c r="AE2359" s="340"/>
      <c r="AI2359" s="340"/>
      <c r="AN2359" s="340"/>
      <c r="AO2359" s="340"/>
      <c r="AS2359" s="340"/>
      <c r="AX2359" s="340"/>
      <c r="BB2359" s="340"/>
      <c r="BD2359" s="339"/>
    </row>
    <row r="2360" spans="7:56" s="338" customFormat="1">
      <c r="G2360" s="340"/>
      <c r="L2360" s="340"/>
      <c r="P2360" s="340"/>
      <c r="U2360" s="340"/>
      <c r="V2360" s="340"/>
      <c r="Z2360" s="340"/>
      <c r="AE2360" s="340"/>
      <c r="AI2360" s="340"/>
      <c r="AN2360" s="340"/>
      <c r="AO2360" s="340"/>
      <c r="AS2360" s="340"/>
      <c r="AX2360" s="340"/>
      <c r="BB2360" s="340"/>
      <c r="BD2360" s="339"/>
    </row>
    <row r="2361" spans="7:56" s="338" customFormat="1">
      <c r="G2361" s="340"/>
      <c r="L2361" s="340"/>
      <c r="P2361" s="340"/>
      <c r="U2361" s="340"/>
      <c r="V2361" s="340"/>
      <c r="Z2361" s="340"/>
      <c r="AE2361" s="340"/>
      <c r="AI2361" s="340"/>
      <c r="AN2361" s="340"/>
      <c r="AO2361" s="340"/>
      <c r="AS2361" s="340"/>
      <c r="AX2361" s="340"/>
      <c r="BB2361" s="340"/>
      <c r="BD2361" s="339"/>
    </row>
    <row r="2362" spans="7:56" s="338" customFormat="1">
      <c r="G2362" s="340"/>
      <c r="L2362" s="340"/>
      <c r="P2362" s="340"/>
      <c r="U2362" s="340"/>
      <c r="V2362" s="340"/>
      <c r="Z2362" s="340"/>
      <c r="AE2362" s="340"/>
      <c r="AI2362" s="340"/>
      <c r="AN2362" s="340"/>
      <c r="AO2362" s="340"/>
      <c r="AS2362" s="340"/>
      <c r="AX2362" s="340"/>
      <c r="BB2362" s="340"/>
      <c r="BD2362" s="339"/>
    </row>
    <row r="2363" spans="7:56" s="338" customFormat="1">
      <c r="G2363" s="340"/>
      <c r="L2363" s="340"/>
      <c r="P2363" s="340"/>
      <c r="U2363" s="340"/>
      <c r="V2363" s="340"/>
      <c r="Z2363" s="340"/>
      <c r="AE2363" s="340"/>
      <c r="AI2363" s="340"/>
      <c r="AN2363" s="340"/>
      <c r="AO2363" s="340"/>
      <c r="AS2363" s="340"/>
      <c r="AX2363" s="340"/>
      <c r="BB2363" s="340"/>
      <c r="BD2363" s="339"/>
    </row>
    <row r="2364" spans="7:56" s="338" customFormat="1">
      <c r="G2364" s="340"/>
      <c r="L2364" s="340"/>
      <c r="P2364" s="340"/>
      <c r="U2364" s="340"/>
      <c r="V2364" s="340"/>
      <c r="Z2364" s="340"/>
      <c r="AE2364" s="340"/>
      <c r="AI2364" s="340"/>
      <c r="AN2364" s="340"/>
      <c r="AO2364" s="340"/>
      <c r="AS2364" s="340"/>
      <c r="AX2364" s="340"/>
      <c r="BB2364" s="340"/>
      <c r="BD2364" s="339"/>
    </row>
    <row r="2365" spans="7:56" s="338" customFormat="1">
      <c r="G2365" s="340"/>
      <c r="L2365" s="340"/>
      <c r="P2365" s="340"/>
      <c r="U2365" s="340"/>
      <c r="V2365" s="340"/>
      <c r="Z2365" s="340"/>
      <c r="AE2365" s="340"/>
      <c r="AI2365" s="340"/>
      <c r="AN2365" s="340"/>
      <c r="AO2365" s="340"/>
      <c r="AS2365" s="340"/>
      <c r="AX2365" s="340"/>
      <c r="BB2365" s="340"/>
      <c r="BD2365" s="339"/>
    </row>
    <row r="2366" spans="7:56" s="338" customFormat="1">
      <c r="G2366" s="340"/>
      <c r="L2366" s="340"/>
      <c r="P2366" s="340"/>
      <c r="U2366" s="340"/>
      <c r="V2366" s="340"/>
      <c r="Z2366" s="340"/>
      <c r="AE2366" s="340"/>
      <c r="AI2366" s="340"/>
      <c r="AN2366" s="340"/>
      <c r="AO2366" s="340"/>
      <c r="AS2366" s="340"/>
      <c r="AX2366" s="340"/>
      <c r="BB2366" s="340"/>
      <c r="BD2366" s="339"/>
    </row>
    <row r="2367" spans="7:56" s="338" customFormat="1">
      <c r="G2367" s="340"/>
      <c r="L2367" s="340"/>
      <c r="P2367" s="340"/>
      <c r="U2367" s="340"/>
      <c r="V2367" s="340"/>
      <c r="Z2367" s="340"/>
      <c r="AE2367" s="340"/>
      <c r="AI2367" s="340"/>
      <c r="AN2367" s="340"/>
      <c r="AO2367" s="340"/>
      <c r="AS2367" s="340"/>
      <c r="AX2367" s="340"/>
      <c r="BB2367" s="340"/>
      <c r="BD2367" s="339"/>
    </row>
    <row r="2368" spans="7:56" s="338" customFormat="1">
      <c r="G2368" s="340"/>
      <c r="L2368" s="340"/>
      <c r="P2368" s="340"/>
      <c r="U2368" s="340"/>
      <c r="V2368" s="340"/>
      <c r="Z2368" s="340"/>
      <c r="AE2368" s="340"/>
      <c r="AI2368" s="340"/>
      <c r="AN2368" s="340"/>
      <c r="AO2368" s="340"/>
      <c r="AS2368" s="340"/>
      <c r="AX2368" s="340"/>
      <c r="BB2368" s="340"/>
      <c r="BD2368" s="339"/>
    </row>
    <row r="2369" spans="7:56" s="338" customFormat="1">
      <c r="G2369" s="340"/>
      <c r="L2369" s="340"/>
      <c r="P2369" s="340"/>
      <c r="U2369" s="340"/>
      <c r="V2369" s="340"/>
      <c r="Z2369" s="340"/>
      <c r="AE2369" s="340"/>
      <c r="AI2369" s="340"/>
      <c r="AN2369" s="340"/>
      <c r="AO2369" s="340"/>
      <c r="AS2369" s="340"/>
      <c r="AX2369" s="340"/>
      <c r="BB2369" s="340"/>
      <c r="BD2369" s="339"/>
    </row>
    <row r="2370" spans="7:56" s="338" customFormat="1">
      <c r="G2370" s="340"/>
      <c r="L2370" s="340"/>
      <c r="P2370" s="340"/>
      <c r="U2370" s="340"/>
      <c r="V2370" s="340"/>
      <c r="Z2370" s="340"/>
      <c r="AE2370" s="340"/>
      <c r="AI2370" s="340"/>
      <c r="AN2370" s="340"/>
      <c r="AO2370" s="340"/>
      <c r="AS2370" s="340"/>
      <c r="AX2370" s="340"/>
      <c r="BB2370" s="340"/>
      <c r="BD2370" s="339"/>
    </row>
    <row r="2371" spans="7:56" s="338" customFormat="1">
      <c r="G2371" s="340"/>
      <c r="L2371" s="340"/>
      <c r="P2371" s="340"/>
      <c r="U2371" s="340"/>
      <c r="V2371" s="340"/>
      <c r="Z2371" s="340"/>
      <c r="AE2371" s="340"/>
      <c r="AI2371" s="340"/>
      <c r="AN2371" s="340"/>
      <c r="AO2371" s="340"/>
      <c r="AS2371" s="340"/>
      <c r="AX2371" s="340"/>
      <c r="BB2371" s="340"/>
      <c r="BD2371" s="339"/>
    </row>
    <row r="2372" spans="7:56" s="338" customFormat="1">
      <c r="G2372" s="340"/>
      <c r="L2372" s="340"/>
      <c r="P2372" s="340"/>
      <c r="U2372" s="340"/>
      <c r="V2372" s="340"/>
      <c r="Z2372" s="340"/>
      <c r="AE2372" s="340"/>
      <c r="AI2372" s="340"/>
      <c r="AN2372" s="340"/>
      <c r="AO2372" s="340"/>
      <c r="AS2372" s="340"/>
      <c r="AX2372" s="340"/>
      <c r="BB2372" s="340"/>
      <c r="BD2372" s="339"/>
    </row>
    <row r="2373" spans="7:56" s="338" customFormat="1">
      <c r="G2373" s="340"/>
      <c r="L2373" s="340"/>
      <c r="P2373" s="340"/>
      <c r="U2373" s="340"/>
      <c r="V2373" s="340"/>
      <c r="Z2373" s="340"/>
      <c r="AE2373" s="340"/>
      <c r="AI2373" s="340"/>
      <c r="AN2373" s="340"/>
      <c r="AO2373" s="340"/>
      <c r="AS2373" s="340"/>
      <c r="AX2373" s="340"/>
      <c r="BB2373" s="340"/>
      <c r="BD2373" s="339"/>
    </row>
    <row r="2374" spans="7:56" s="338" customFormat="1">
      <c r="G2374" s="340"/>
      <c r="L2374" s="340"/>
      <c r="P2374" s="340"/>
      <c r="U2374" s="340"/>
      <c r="V2374" s="340"/>
      <c r="Z2374" s="340"/>
      <c r="AE2374" s="340"/>
      <c r="AI2374" s="340"/>
      <c r="AN2374" s="340"/>
      <c r="AO2374" s="340"/>
      <c r="AS2374" s="340"/>
      <c r="AX2374" s="340"/>
      <c r="BB2374" s="340"/>
      <c r="BD2374" s="339"/>
    </row>
    <row r="2375" spans="7:56" s="338" customFormat="1">
      <c r="G2375" s="340"/>
      <c r="L2375" s="340"/>
      <c r="P2375" s="340"/>
      <c r="U2375" s="340"/>
      <c r="V2375" s="340"/>
      <c r="Z2375" s="340"/>
      <c r="AE2375" s="340"/>
      <c r="AI2375" s="340"/>
      <c r="AN2375" s="340"/>
      <c r="AO2375" s="340"/>
      <c r="AS2375" s="340"/>
      <c r="AX2375" s="340"/>
      <c r="BB2375" s="340"/>
      <c r="BD2375" s="339"/>
    </row>
    <row r="2376" spans="7:56" s="338" customFormat="1">
      <c r="G2376" s="340"/>
      <c r="L2376" s="340"/>
      <c r="P2376" s="340"/>
      <c r="U2376" s="340"/>
      <c r="V2376" s="340"/>
      <c r="Z2376" s="340"/>
      <c r="AE2376" s="340"/>
      <c r="AI2376" s="340"/>
      <c r="AN2376" s="340"/>
      <c r="AO2376" s="340"/>
      <c r="AS2376" s="340"/>
      <c r="AX2376" s="340"/>
      <c r="BB2376" s="340"/>
      <c r="BD2376" s="339"/>
    </row>
    <row r="2377" spans="7:56" s="338" customFormat="1">
      <c r="G2377" s="340"/>
      <c r="L2377" s="340"/>
      <c r="P2377" s="340"/>
      <c r="U2377" s="340"/>
      <c r="V2377" s="340"/>
      <c r="Z2377" s="340"/>
      <c r="AE2377" s="340"/>
      <c r="AI2377" s="340"/>
      <c r="AN2377" s="340"/>
      <c r="AO2377" s="340"/>
      <c r="AS2377" s="340"/>
      <c r="AX2377" s="340"/>
      <c r="BB2377" s="340"/>
      <c r="BD2377" s="339"/>
    </row>
    <row r="2378" spans="7:56" s="338" customFormat="1">
      <c r="G2378" s="340"/>
      <c r="L2378" s="340"/>
      <c r="P2378" s="340"/>
      <c r="U2378" s="340"/>
      <c r="V2378" s="340"/>
      <c r="Z2378" s="340"/>
      <c r="AE2378" s="340"/>
      <c r="AI2378" s="340"/>
      <c r="AN2378" s="340"/>
      <c r="AO2378" s="340"/>
      <c r="AS2378" s="340"/>
      <c r="AX2378" s="340"/>
      <c r="BB2378" s="340"/>
      <c r="BD2378" s="339"/>
    </row>
    <row r="2379" spans="7:56" s="338" customFormat="1">
      <c r="G2379" s="340"/>
      <c r="L2379" s="340"/>
      <c r="P2379" s="340"/>
      <c r="U2379" s="340"/>
      <c r="V2379" s="340"/>
      <c r="Z2379" s="340"/>
      <c r="AE2379" s="340"/>
      <c r="AI2379" s="340"/>
      <c r="AN2379" s="340"/>
      <c r="AO2379" s="340"/>
      <c r="AS2379" s="340"/>
      <c r="AX2379" s="340"/>
      <c r="BB2379" s="340"/>
      <c r="BD2379" s="339"/>
    </row>
    <row r="2380" spans="7:56" s="338" customFormat="1">
      <c r="G2380" s="340"/>
      <c r="L2380" s="340"/>
      <c r="P2380" s="340"/>
      <c r="U2380" s="340"/>
      <c r="V2380" s="340"/>
      <c r="Z2380" s="340"/>
      <c r="AE2380" s="340"/>
      <c r="AI2380" s="340"/>
      <c r="AN2380" s="340"/>
      <c r="AO2380" s="340"/>
      <c r="AS2380" s="340"/>
      <c r="AX2380" s="340"/>
      <c r="BB2380" s="340"/>
      <c r="BD2380" s="339"/>
    </row>
    <row r="2381" spans="7:56" s="338" customFormat="1">
      <c r="G2381" s="340"/>
      <c r="L2381" s="340"/>
      <c r="P2381" s="340"/>
      <c r="U2381" s="340"/>
      <c r="V2381" s="340"/>
      <c r="Z2381" s="340"/>
      <c r="AE2381" s="340"/>
      <c r="AI2381" s="340"/>
      <c r="AN2381" s="340"/>
      <c r="AO2381" s="340"/>
      <c r="AS2381" s="340"/>
      <c r="AX2381" s="340"/>
      <c r="BB2381" s="340"/>
      <c r="BD2381" s="339"/>
    </row>
    <row r="2382" spans="7:56" s="338" customFormat="1">
      <c r="G2382" s="340"/>
      <c r="L2382" s="340"/>
      <c r="P2382" s="340"/>
      <c r="U2382" s="340"/>
      <c r="V2382" s="340"/>
      <c r="Z2382" s="340"/>
      <c r="AE2382" s="340"/>
      <c r="AI2382" s="340"/>
      <c r="AN2382" s="340"/>
      <c r="AO2382" s="340"/>
      <c r="AS2382" s="340"/>
      <c r="AX2382" s="340"/>
      <c r="BB2382" s="340"/>
      <c r="BD2382" s="339"/>
    </row>
    <row r="2383" spans="7:56" s="338" customFormat="1">
      <c r="G2383" s="340"/>
      <c r="L2383" s="340"/>
      <c r="P2383" s="340"/>
      <c r="U2383" s="340"/>
      <c r="V2383" s="340"/>
      <c r="Z2383" s="340"/>
      <c r="AE2383" s="340"/>
      <c r="AI2383" s="340"/>
      <c r="AN2383" s="340"/>
      <c r="AO2383" s="340"/>
      <c r="AS2383" s="340"/>
      <c r="AX2383" s="340"/>
      <c r="BB2383" s="340"/>
      <c r="BD2383" s="339"/>
    </row>
    <row r="2384" spans="7:56" s="338" customFormat="1">
      <c r="G2384" s="340"/>
      <c r="L2384" s="340"/>
      <c r="P2384" s="340"/>
      <c r="U2384" s="340"/>
      <c r="V2384" s="340"/>
      <c r="Z2384" s="340"/>
      <c r="AE2384" s="340"/>
      <c r="AI2384" s="340"/>
      <c r="AN2384" s="340"/>
      <c r="AO2384" s="340"/>
      <c r="AS2384" s="340"/>
      <c r="AX2384" s="340"/>
      <c r="BB2384" s="340"/>
      <c r="BD2384" s="339"/>
    </row>
    <row r="2385" spans="7:56" s="338" customFormat="1">
      <c r="G2385" s="340"/>
      <c r="L2385" s="340"/>
      <c r="P2385" s="340"/>
      <c r="U2385" s="340"/>
      <c r="V2385" s="340"/>
      <c r="Z2385" s="340"/>
      <c r="AE2385" s="340"/>
      <c r="AI2385" s="340"/>
      <c r="AN2385" s="340"/>
      <c r="AO2385" s="340"/>
      <c r="AS2385" s="340"/>
      <c r="AX2385" s="340"/>
      <c r="BB2385" s="340"/>
      <c r="BD2385" s="339"/>
    </row>
    <row r="2386" spans="7:56" s="338" customFormat="1">
      <c r="G2386" s="340"/>
      <c r="L2386" s="340"/>
      <c r="P2386" s="340"/>
      <c r="U2386" s="340"/>
      <c r="V2386" s="340"/>
      <c r="Z2386" s="340"/>
      <c r="AE2386" s="340"/>
      <c r="AI2386" s="340"/>
      <c r="AN2386" s="340"/>
      <c r="AO2386" s="340"/>
      <c r="AS2386" s="340"/>
      <c r="AX2386" s="340"/>
      <c r="BB2386" s="340"/>
      <c r="BD2386" s="339"/>
    </row>
    <row r="2387" spans="7:56" s="338" customFormat="1">
      <c r="G2387" s="340"/>
      <c r="L2387" s="340"/>
      <c r="P2387" s="340"/>
      <c r="U2387" s="340"/>
      <c r="V2387" s="340"/>
      <c r="Z2387" s="340"/>
      <c r="AE2387" s="340"/>
      <c r="AI2387" s="340"/>
      <c r="AN2387" s="340"/>
      <c r="AO2387" s="340"/>
      <c r="AS2387" s="340"/>
      <c r="AX2387" s="340"/>
      <c r="BB2387" s="340"/>
      <c r="BD2387" s="339"/>
    </row>
    <row r="2388" spans="7:56" s="338" customFormat="1">
      <c r="G2388" s="340"/>
      <c r="L2388" s="340"/>
      <c r="P2388" s="340"/>
      <c r="U2388" s="340"/>
      <c r="V2388" s="340"/>
      <c r="Z2388" s="340"/>
      <c r="AE2388" s="340"/>
      <c r="AI2388" s="340"/>
      <c r="AN2388" s="340"/>
      <c r="AO2388" s="340"/>
      <c r="AS2388" s="340"/>
      <c r="AX2388" s="340"/>
      <c r="BB2388" s="340"/>
      <c r="BD2388" s="339"/>
    </row>
    <row r="2389" spans="7:56" s="338" customFormat="1">
      <c r="G2389" s="340"/>
      <c r="L2389" s="340"/>
      <c r="P2389" s="340"/>
      <c r="U2389" s="340"/>
      <c r="V2389" s="340"/>
      <c r="Z2389" s="340"/>
      <c r="AE2389" s="340"/>
      <c r="AI2389" s="340"/>
      <c r="AN2389" s="340"/>
      <c r="AO2389" s="340"/>
      <c r="AS2389" s="340"/>
      <c r="AX2389" s="340"/>
      <c r="BB2389" s="340"/>
      <c r="BD2389" s="339"/>
    </row>
    <row r="2390" spans="7:56" s="338" customFormat="1">
      <c r="G2390" s="340"/>
      <c r="L2390" s="340"/>
      <c r="P2390" s="340"/>
      <c r="U2390" s="340"/>
      <c r="V2390" s="340"/>
      <c r="Z2390" s="340"/>
      <c r="AE2390" s="340"/>
      <c r="AI2390" s="340"/>
      <c r="AN2390" s="340"/>
      <c r="AO2390" s="340"/>
      <c r="AS2390" s="340"/>
      <c r="AX2390" s="340"/>
      <c r="BB2390" s="340"/>
      <c r="BD2390" s="339"/>
    </row>
    <row r="2391" spans="7:56" s="338" customFormat="1">
      <c r="G2391" s="340"/>
      <c r="L2391" s="340"/>
      <c r="P2391" s="340"/>
      <c r="U2391" s="340"/>
      <c r="V2391" s="340"/>
      <c r="Z2391" s="340"/>
      <c r="AE2391" s="340"/>
      <c r="AI2391" s="340"/>
      <c r="AN2391" s="340"/>
      <c r="AO2391" s="340"/>
      <c r="AS2391" s="340"/>
      <c r="AX2391" s="340"/>
      <c r="BB2391" s="340"/>
      <c r="BD2391" s="339"/>
    </row>
    <row r="2392" spans="7:56" s="338" customFormat="1">
      <c r="G2392" s="340"/>
      <c r="L2392" s="340"/>
      <c r="P2392" s="340"/>
      <c r="U2392" s="340"/>
      <c r="V2392" s="340"/>
      <c r="Z2392" s="340"/>
      <c r="AE2392" s="340"/>
      <c r="AI2392" s="340"/>
      <c r="AN2392" s="340"/>
      <c r="AO2392" s="340"/>
      <c r="AS2392" s="340"/>
      <c r="AX2392" s="340"/>
      <c r="BB2392" s="340"/>
      <c r="BD2392" s="339"/>
    </row>
    <row r="2393" spans="7:56" s="338" customFormat="1">
      <c r="G2393" s="340"/>
      <c r="L2393" s="340"/>
      <c r="P2393" s="340"/>
      <c r="U2393" s="340"/>
      <c r="V2393" s="340"/>
      <c r="Z2393" s="340"/>
      <c r="AE2393" s="340"/>
      <c r="AI2393" s="340"/>
      <c r="AN2393" s="340"/>
      <c r="AO2393" s="340"/>
      <c r="AS2393" s="340"/>
      <c r="AX2393" s="340"/>
      <c r="BB2393" s="340"/>
      <c r="BD2393" s="339"/>
    </row>
    <row r="2394" spans="7:56" s="338" customFormat="1">
      <c r="G2394" s="340"/>
      <c r="L2394" s="340"/>
      <c r="P2394" s="340"/>
      <c r="U2394" s="340"/>
      <c r="V2394" s="340"/>
      <c r="Z2394" s="340"/>
      <c r="AE2394" s="340"/>
      <c r="AI2394" s="340"/>
      <c r="AN2394" s="340"/>
      <c r="AO2394" s="340"/>
      <c r="AS2394" s="340"/>
      <c r="AX2394" s="340"/>
      <c r="BB2394" s="340"/>
      <c r="BD2394" s="339"/>
    </row>
    <row r="2395" spans="7:56" s="338" customFormat="1">
      <c r="G2395" s="340"/>
      <c r="L2395" s="340"/>
      <c r="P2395" s="340"/>
      <c r="U2395" s="340"/>
      <c r="V2395" s="340"/>
      <c r="Z2395" s="340"/>
      <c r="AE2395" s="340"/>
      <c r="AI2395" s="340"/>
      <c r="AN2395" s="340"/>
      <c r="AO2395" s="340"/>
      <c r="AS2395" s="340"/>
      <c r="AX2395" s="340"/>
      <c r="BB2395" s="340"/>
      <c r="BD2395" s="339"/>
    </row>
    <row r="2396" spans="7:56" s="338" customFormat="1">
      <c r="G2396" s="340"/>
      <c r="L2396" s="340"/>
      <c r="P2396" s="340"/>
      <c r="U2396" s="340"/>
      <c r="V2396" s="340"/>
      <c r="Z2396" s="340"/>
      <c r="AE2396" s="340"/>
      <c r="AI2396" s="340"/>
      <c r="AN2396" s="340"/>
      <c r="AO2396" s="340"/>
      <c r="AS2396" s="340"/>
      <c r="AX2396" s="340"/>
      <c r="BB2396" s="340"/>
      <c r="BD2396" s="339"/>
    </row>
    <row r="2397" spans="7:56" s="338" customFormat="1">
      <c r="G2397" s="340"/>
      <c r="L2397" s="340"/>
      <c r="P2397" s="340"/>
      <c r="U2397" s="340"/>
      <c r="V2397" s="340"/>
      <c r="Z2397" s="340"/>
      <c r="AE2397" s="340"/>
      <c r="AI2397" s="340"/>
      <c r="AN2397" s="340"/>
      <c r="AO2397" s="340"/>
      <c r="AS2397" s="340"/>
      <c r="AX2397" s="340"/>
      <c r="BB2397" s="340"/>
      <c r="BD2397" s="339"/>
    </row>
    <row r="2398" spans="7:56" s="338" customFormat="1">
      <c r="G2398" s="340"/>
      <c r="L2398" s="340"/>
      <c r="P2398" s="340"/>
      <c r="U2398" s="340"/>
      <c r="V2398" s="340"/>
      <c r="Z2398" s="340"/>
      <c r="AE2398" s="340"/>
      <c r="AI2398" s="340"/>
      <c r="AN2398" s="340"/>
      <c r="AO2398" s="340"/>
      <c r="AS2398" s="340"/>
      <c r="AX2398" s="340"/>
      <c r="BB2398" s="340"/>
      <c r="BD2398" s="339"/>
    </row>
    <row r="2399" spans="7:56" s="338" customFormat="1">
      <c r="G2399" s="340"/>
      <c r="L2399" s="340"/>
      <c r="P2399" s="340"/>
      <c r="U2399" s="340"/>
      <c r="V2399" s="340"/>
      <c r="Z2399" s="340"/>
      <c r="AE2399" s="340"/>
      <c r="AI2399" s="340"/>
      <c r="AN2399" s="340"/>
      <c r="AO2399" s="340"/>
      <c r="AS2399" s="340"/>
      <c r="AX2399" s="340"/>
      <c r="BB2399" s="340"/>
      <c r="BD2399" s="339"/>
    </row>
    <row r="2400" spans="7:56" s="338" customFormat="1">
      <c r="G2400" s="340"/>
      <c r="L2400" s="340"/>
      <c r="P2400" s="340"/>
      <c r="U2400" s="340"/>
      <c r="V2400" s="340"/>
      <c r="Z2400" s="340"/>
      <c r="AE2400" s="340"/>
      <c r="AI2400" s="340"/>
      <c r="AN2400" s="340"/>
      <c r="AO2400" s="340"/>
      <c r="AS2400" s="340"/>
      <c r="AX2400" s="340"/>
      <c r="BB2400" s="340"/>
      <c r="BD2400" s="339"/>
    </row>
    <row r="2401" spans="7:56" s="338" customFormat="1">
      <c r="G2401" s="340"/>
      <c r="L2401" s="340"/>
      <c r="P2401" s="340"/>
      <c r="U2401" s="340"/>
      <c r="V2401" s="340"/>
      <c r="Z2401" s="340"/>
      <c r="AE2401" s="340"/>
      <c r="AI2401" s="340"/>
      <c r="AN2401" s="340"/>
      <c r="AO2401" s="340"/>
      <c r="AS2401" s="340"/>
      <c r="AX2401" s="340"/>
      <c r="BB2401" s="340"/>
      <c r="BD2401" s="339"/>
    </row>
    <row r="2402" spans="7:56" s="338" customFormat="1">
      <c r="G2402" s="340"/>
      <c r="L2402" s="340"/>
      <c r="P2402" s="340"/>
      <c r="U2402" s="340"/>
      <c r="V2402" s="340"/>
      <c r="Z2402" s="340"/>
      <c r="AE2402" s="340"/>
      <c r="AI2402" s="340"/>
      <c r="AN2402" s="340"/>
      <c r="AO2402" s="340"/>
      <c r="AS2402" s="340"/>
      <c r="AX2402" s="340"/>
      <c r="BB2402" s="340"/>
      <c r="BD2402" s="339"/>
    </row>
    <row r="2403" spans="7:56" s="338" customFormat="1">
      <c r="G2403" s="340"/>
      <c r="L2403" s="340"/>
      <c r="P2403" s="340"/>
      <c r="U2403" s="340"/>
      <c r="V2403" s="340"/>
      <c r="Z2403" s="340"/>
      <c r="AE2403" s="340"/>
      <c r="AI2403" s="340"/>
      <c r="AN2403" s="340"/>
      <c r="AO2403" s="340"/>
      <c r="AS2403" s="340"/>
      <c r="AX2403" s="340"/>
      <c r="BB2403" s="340"/>
      <c r="BD2403" s="339"/>
    </row>
    <row r="2404" spans="7:56" s="338" customFormat="1">
      <c r="G2404" s="340"/>
      <c r="L2404" s="340"/>
      <c r="P2404" s="340"/>
      <c r="U2404" s="340"/>
      <c r="V2404" s="340"/>
      <c r="Z2404" s="340"/>
      <c r="AE2404" s="340"/>
      <c r="AI2404" s="340"/>
      <c r="AN2404" s="340"/>
      <c r="AO2404" s="340"/>
      <c r="AS2404" s="340"/>
      <c r="AX2404" s="340"/>
      <c r="BB2404" s="340"/>
      <c r="BD2404" s="339"/>
    </row>
    <row r="2405" spans="7:56" s="338" customFormat="1">
      <c r="G2405" s="340"/>
      <c r="L2405" s="340"/>
      <c r="P2405" s="340"/>
      <c r="U2405" s="340"/>
      <c r="V2405" s="340"/>
      <c r="Z2405" s="340"/>
      <c r="AE2405" s="340"/>
      <c r="AI2405" s="340"/>
      <c r="AN2405" s="340"/>
      <c r="AO2405" s="340"/>
      <c r="AS2405" s="340"/>
      <c r="AX2405" s="340"/>
      <c r="BB2405" s="340"/>
      <c r="BD2405" s="339"/>
    </row>
    <row r="2406" spans="7:56" s="338" customFormat="1">
      <c r="G2406" s="340"/>
      <c r="L2406" s="340"/>
      <c r="P2406" s="340"/>
      <c r="U2406" s="340"/>
      <c r="V2406" s="340"/>
      <c r="Z2406" s="340"/>
      <c r="AE2406" s="340"/>
      <c r="AI2406" s="340"/>
      <c r="AN2406" s="340"/>
      <c r="AO2406" s="340"/>
      <c r="AS2406" s="340"/>
      <c r="AX2406" s="340"/>
      <c r="BB2406" s="340"/>
      <c r="BD2406" s="339"/>
    </row>
    <row r="2407" spans="7:56" s="338" customFormat="1">
      <c r="G2407" s="340"/>
      <c r="L2407" s="340"/>
      <c r="P2407" s="340"/>
      <c r="U2407" s="340"/>
      <c r="V2407" s="340"/>
      <c r="Z2407" s="340"/>
      <c r="AE2407" s="340"/>
      <c r="AI2407" s="340"/>
      <c r="AN2407" s="340"/>
      <c r="AO2407" s="340"/>
      <c r="AS2407" s="340"/>
      <c r="AX2407" s="340"/>
      <c r="BB2407" s="340"/>
      <c r="BD2407" s="339"/>
    </row>
    <row r="2408" spans="7:56" s="338" customFormat="1">
      <c r="G2408" s="340"/>
      <c r="L2408" s="340"/>
      <c r="P2408" s="340"/>
      <c r="U2408" s="340"/>
      <c r="V2408" s="340"/>
      <c r="Z2408" s="340"/>
      <c r="AE2408" s="340"/>
      <c r="AI2408" s="340"/>
      <c r="AN2408" s="340"/>
      <c r="AO2408" s="340"/>
      <c r="AS2408" s="340"/>
      <c r="AX2408" s="340"/>
      <c r="BB2408" s="340"/>
      <c r="BD2408" s="339"/>
    </row>
    <row r="2409" spans="7:56" s="338" customFormat="1">
      <c r="G2409" s="340"/>
      <c r="L2409" s="340"/>
      <c r="P2409" s="340"/>
      <c r="U2409" s="340"/>
      <c r="V2409" s="340"/>
      <c r="Z2409" s="340"/>
      <c r="AE2409" s="340"/>
      <c r="AI2409" s="340"/>
      <c r="AN2409" s="340"/>
      <c r="AO2409" s="340"/>
      <c r="AS2409" s="340"/>
      <c r="AX2409" s="340"/>
      <c r="BB2409" s="340"/>
      <c r="BD2409" s="339"/>
    </row>
    <row r="2410" spans="7:56" s="338" customFormat="1">
      <c r="G2410" s="340"/>
      <c r="L2410" s="340"/>
      <c r="P2410" s="340"/>
      <c r="U2410" s="340"/>
      <c r="V2410" s="340"/>
      <c r="Z2410" s="340"/>
      <c r="AE2410" s="340"/>
      <c r="AI2410" s="340"/>
      <c r="AN2410" s="340"/>
      <c r="AO2410" s="340"/>
      <c r="AS2410" s="340"/>
      <c r="AX2410" s="340"/>
      <c r="BB2410" s="340"/>
      <c r="BD2410" s="339"/>
    </row>
    <row r="2411" spans="7:56" s="338" customFormat="1">
      <c r="G2411" s="340"/>
      <c r="L2411" s="340"/>
      <c r="P2411" s="340"/>
      <c r="U2411" s="340"/>
      <c r="V2411" s="340"/>
      <c r="Z2411" s="340"/>
      <c r="AE2411" s="340"/>
      <c r="AI2411" s="340"/>
      <c r="AN2411" s="340"/>
      <c r="AO2411" s="340"/>
      <c r="AS2411" s="340"/>
      <c r="AX2411" s="340"/>
      <c r="BB2411" s="340"/>
      <c r="BD2411" s="339"/>
    </row>
    <row r="2412" spans="7:56" s="338" customFormat="1">
      <c r="G2412" s="340"/>
      <c r="L2412" s="340"/>
      <c r="P2412" s="340"/>
      <c r="U2412" s="340"/>
      <c r="V2412" s="340"/>
      <c r="Z2412" s="340"/>
      <c r="AE2412" s="340"/>
      <c r="AI2412" s="340"/>
      <c r="AN2412" s="340"/>
      <c r="AO2412" s="340"/>
      <c r="AS2412" s="340"/>
      <c r="AX2412" s="340"/>
      <c r="BB2412" s="340"/>
      <c r="BD2412" s="339"/>
    </row>
    <row r="2413" spans="7:56" s="338" customFormat="1">
      <c r="G2413" s="340"/>
      <c r="L2413" s="340"/>
      <c r="P2413" s="340"/>
      <c r="U2413" s="340"/>
      <c r="V2413" s="340"/>
      <c r="Z2413" s="340"/>
      <c r="AE2413" s="340"/>
      <c r="AI2413" s="340"/>
      <c r="AN2413" s="340"/>
      <c r="AO2413" s="340"/>
      <c r="AS2413" s="340"/>
      <c r="AX2413" s="340"/>
      <c r="BB2413" s="340"/>
      <c r="BD2413" s="339"/>
    </row>
    <row r="2414" spans="7:56" s="338" customFormat="1">
      <c r="G2414" s="340"/>
      <c r="L2414" s="340"/>
      <c r="P2414" s="340"/>
      <c r="U2414" s="340"/>
      <c r="V2414" s="340"/>
      <c r="Z2414" s="340"/>
      <c r="AE2414" s="340"/>
      <c r="AI2414" s="340"/>
      <c r="AN2414" s="340"/>
      <c r="AO2414" s="340"/>
      <c r="AS2414" s="340"/>
      <c r="AX2414" s="340"/>
      <c r="BB2414" s="340"/>
      <c r="BD2414" s="339"/>
    </row>
    <row r="2415" spans="7:56" s="338" customFormat="1">
      <c r="G2415" s="340"/>
      <c r="L2415" s="340"/>
      <c r="P2415" s="340"/>
      <c r="U2415" s="340"/>
      <c r="V2415" s="340"/>
      <c r="Z2415" s="340"/>
      <c r="AE2415" s="340"/>
      <c r="AI2415" s="340"/>
      <c r="AN2415" s="340"/>
      <c r="AO2415" s="340"/>
      <c r="AS2415" s="340"/>
      <c r="AX2415" s="340"/>
      <c r="BB2415" s="340"/>
      <c r="BD2415" s="339"/>
    </row>
    <row r="2416" spans="7:56" s="338" customFormat="1">
      <c r="G2416" s="340"/>
      <c r="L2416" s="340"/>
      <c r="P2416" s="340"/>
      <c r="U2416" s="340"/>
      <c r="V2416" s="340"/>
      <c r="Z2416" s="340"/>
      <c r="AE2416" s="340"/>
      <c r="AI2416" s="340"/>
      <c r="AN2416" s="340"/>
      <c r="AO2416" s="340"/>
      <c r="AS2416" s="340"/>
      <c r="AX2416" s="340"/>
      <c r="BB2416" s="340"/>
      <c r="BD2416" s="339"/>
    </row>
    <row r="2417" spans="7:56" s="338" customFormat="1">
      <c r="G2417" s="340"/>
      <c r="L2417" s="340"/>
      <c r="P2417" s="340"/>
      <c r="U2417" s="340"/>
      <c r="V2417" s="340"/>
      <c r="Z2417" s="340"/>
      <c r="AE2417" s="340"/>
      <c r="AI2417" s="340"/>
      <c r="AN2417" s="340"/>
      <c r="AO2417" s="340"/>
      <c r="AS2417" s="340"/>
      <c r="AX2417" s="340"/>
      <c r="BB2417" s="340"/>
      <c r="BD2417" s="339"/>
    </row>
    <row r="2418" spans="7:56" s="338" customFormat="1">
      <c r="G2418" s="340"/>
      <c r="L2418" s="340"/>
      <c r="P2418" s="340"/>
      <c r="U2418" s="340"/>
      <c r="V2418" s="340"/>
      <c r="Z2418" s="340"/>
      <c r="AE2418" s="340"/>
      <c r="AI2418" s="340"/>
      <c r="AN2418" s="340"/>
      <c r="AO2418" s="340"/>
      <c r="AS2418" s="340"/>
      <c r="AX2418" s="340"/>
      <c r="BB2418" s="340"/>
      <c r="BD2418" s="339"/>
    </row>
    <row r="2419" spans="7:56" s="338" customFormat="1">
      <c r="G2419" s="340"/>
      <c r="L2419" s="340"/>
      <c r="P2419" s="340"/>
      <c r="U2419" s="340"/>
      <c r="V2419" s="340"/>
      <c r="Z2419" s="340"/>
      <c r="AE2419" s="340"/>
      <c r="AI2419" s="340"/>
      <c r="AN2419" s="340"/>
      <c r="AO2419" s="340"/>
      <c r="AS2419" s="340"/>
      <c r="AX2419" s="340"/>
      <c r="BB2419" s="340"/>
      <c r="BD2419" s="339"/>
    </row>
    <row r="2420" spans="7:56" s="338" customFormat="1">
      <c r="G2420" s="340"/>
      <c r="L2420" s="340"/>
      <c r="P2420" s="340"/>
      <c r="U2420" s="340"/>
      <c r="V2420" s="340"/>
      <c r="Z2420" s="340"/>
      <c r="AE2420" s="340"/>
      <c r="AI2420" s="340"/>
      <c r="AN2420" s="340"/>
      <c r="AO2420" s="340"/>
      <c r="AS2420" s="340"/>
      <c r="AX2420" s="340"/>
      <c r="BB2420" s="340"/>
      <c r="BD2420" s="339"/>
    </row>
    <row r="2421" spans="7:56" s="338" customFormat="1">
      <c r="G2421" s="340"/>
      <c r="L2421" s="340"/>
      <c r="P2421" s="340"/>
      <c r="U2421" s="340"/>
      <c r="V2421" s="340"/>
      <c r="Z2421" s="340"/>
      <c r="AE2421" s="340"/>
      <c r="AI2421" s="340"/>
      <c r="AN2421" s="340"/>
      <c r="AO2421" s="340"/>
      <c r="AS2421" s="340"/>
      <c r="AX2421" s="340"/>
      <c r="BB2421" s="340"/>
      <c r="BD2421" s="339"/>
    </row>
    <row r="2422" spans="7:56" s="338" customFormat="1">
      <c r="G2422" s="340"/>
      <c r="L2422" s="340"/>
      <c r="P2422" s="340"/>
      <c r="U2422" s="340"/>
      <c r="V2422" s="340"/>
      <c r="Z2422" s="340"/>
      <c r="AE2422" s="340"/>
      <c r="AI2422" s="340"/>
      <c r="AN2422" s="340"/>
      <c r="AO2422" s="340"/>
      <c r="AS2422" s="340"/>
      <c r="AX2422" s="340"/>
      <c r="BB2422" s="340"/>
      <c r="BD2422" s="339"/>
    </row>
    <row r="2423" spans="7:56" s="338" customFormat="1">
      <c r="G2423" s="340"/>
      <c r="L2423" s="340"/>
      <c r="P2423" s="340"/>
      <c r="U2423" s="340"/>
      <c r="V2423" s="340"/>
      <c r="Z2423" s="340"/>
      <c r="AE2423" s="340"/>
      <c r="AI2423" s="340"/>
      <c r="AN2423" s="340"/>
      <c r="AO2423" s="340"/>
      <c r="AS2423" s="340"/>
      <c r="AX2423" s="340"/>
      <c r="BB2423" s="340"/>
      <c r="BD2423" s="339"/>
    </row>
    <row r="2424" spans="7:56" s="338" customFormat="1">
      <c r="G2424" s="340"/>
      <c r="L2424" s="340"/>
      <c r="P2424" s="340"/>
      <c r="U2424" s="340"/>
      <c r="V2424" s="340"/>
      <c r="Z2424" s="340"/>
      <c r="AE2424" s="340"/>
      <c r="AI2424" s="340"/>
      <c r="AN2424" s="340"/>
      <c r="AO2424" s="340"/>
      <c r="AS2424" s="340"/>
      <c r="AX2424" s="340"/>
      <c r="BB2424" s="340"/>
      <c r="BD2424" s="339"/>
    </row>
    <row r="2425" spans="7:56" s="338" customFormat="1">
      <c r="G2425" s="340"/>
      <c r="L2425" s="340"/>
      <c r="P2425" s="340"/>
      <c r="U2425" s="340"/>
      <c r="V2425" s="340"/>
      <c r="Z2425" s="340"/>
      <c r="AE2425" s="340"/>
      <c r="AI2425" s="340"/>
      <c r="AN2425" s="340"/>
      <c r="AO2425" s="340"/>
      <c r="AS2425" s="340"/>
      <c r="AX2425" s="340"/>
      <c r="BB2425" s="340"/>
      <c r="BD2425" s="339"/>
    </row>
    <row r="2426" spans="7:56" s="338" customFormat="1">
      <c r="G2426" s="340"/>
      <c r="L2426" s="340"/>
      <c r="P2426" s="340"/>
      <c r="U2426" s="340"/>
      <c r="V2426" s="340"/>
      <c r="Z2426" s="340"/>
      <c r="AE2426" s="340"/>
      <c r="AI2426" s="340"/>
      <c r="AN2426" s="340"/>
      <c r="AO2426" s="340"/>
      <c r="AS2426" s="340"/>
      <c r="AX2426" s="340"/>
      <c r="BB2426" s="340"/>
      <c r="BD2426" s="339"/>
    </row>
    <row r="2427" spans="7:56" s="338" customFormat="1">
      <c r="G2427" s="340"/>
      <c r="L2427" s="340"/>
      <c r="P2427" s="340"/>
      <c r="U2427" s="340"/>
      <c r="V2427" s="340"/>
      <c r="Z2427" s="340"/>
      <c r="AE2427" s="340"/>
      <c r="AI2427" s="340"/>
      <c r="AN2427" s="340"/>
      <c r="AO2427" s="340"/>
      <c r="AS2427" s="340"/>
      <c r="AX2427" s="340"/>
      <c r="BB2427" s="340"/>
      <c r="BD2427" s="339"/>
    </row>
    <row r="2428" spans="7:56" s="338" customFormat="1">
      <c r="G2428" s="340"/>
      <c r="L2428" s="340"/>
      <c r="P2428" s="340"/>
      <c r="U2428" s="340"/>
      <c r="V2428" s="340"/>
      <c r="Z2428" s="340"/>
      <c r="AE2428" s="340"/>
      <c r="AI2428" s="340"/>
      <c r="AN2428" s="340"/>
      <c r="AO2428" s="340"/>
      <c r="AS2428" s="340"/>
      <c r="AX2428" s="340"/>
      <c r="BB2428" s="340"/>
      <c r="BD2428" s="339"/>
    </row>
    <row r="2429" spans="7:56" s="338" customFormat="1">
      <c r="G2429" s="340"/>
      <c r="L2429" s="340"/>
      <c r="P2429" s="340"/>
      <c r="U2429" s="340"/>
      <c r="V2429" s="340"/>
      <c r="Z2429" s="340"/>
      <c r="AE2429" s="340"/>
      <c r="AI2429" s="340"/>
      <c r="AN2429" s="340"/>
      <c r="AO2429" s="340"/>
      <c r="AS2429" s="340"/>
      <c r="AX2429" s="340"/>
      <c r="BB2429" s="340"/>
      <c r="BD2429" s="339"/>
    </row>
    <row r="2430" spans="7:56" s="338" customFormat="1">
      <c r="G2430" s="340"/>
      <c r="L2430" s="340"/>
      <c r="P2430" s="340"/>
      <c r="U2430" s="340"/>
      <c r="V2430" s="340"/>
      <c r="Z2430" s="340"/>
      <c r="AE2430" s="340"/>
      <c r="AI2430" s="340"/>
      <c r="AN2430" s="340"/>
      <c r="AO2430" s="340"/>
      <c r="AS2430" s="340"/>
      <c r="AX2430" s="340"/>
      <c r="BB2430" s="340"/>
      <c r="BD2430" s="339"/>
    </row>
    <row r="2431" spans="7:56" s="338" customFormat="1">
      <c r="G2431" s="340"/>
      <c r="L2431" s="340"/>
      <c r="P2431" s="340"/>
      <c r="U2431" s="340"/>
      <c r="V2431" s="340"/>
      <c r="Z2431" s="340"/>
      <c r="AE2431" s="340"/>
      <c r="AI2431" s="340"/>
      <c r="AN2431" s="340"/>
      <c r="AO2431" s="340"/>
      <c r="AS2431" s="340"/>
      <c r="AX2431" s="340"/>
      <c r="BB2431" s="340"/>
      <c r="BD2431" s="339"/>
    </row>
    <row r="2432" spans="7:56" s="338" customFormat="1">
      <c r="G2432" s="340"/>
      <c r="L2432" s="340"/>
      <c r="P2432" s="340"/>
      <c r="U2432" s="340"/>
      <c r="V2432" s="340"/>
      <c r="Z2432" s="340"/>
      <c r="AE2432" s="340"/>
      <c r="AI2432" s="340"/>
      <c r="AN2432" s="340"/>
      <c r="AO2432" s="340"/>
      <c r="AS2432" s="340"/>
      <c r="AX2432" s="340"/>
      <c r="BB2432" s="340"/>
      <c r="BD2432" s="339"/>
    </row>
    <row r="2433" spans="7:56" s="338" customFormat="1">
      <c r="G2433" s="340"/>
      <c r="L2433" s="340"/>
      <c r="P2433" s="340"/>
      <c r="U2433" s="340"/>
      <c r="V2433" s="340"/>
      <c r="Z2433" s="340"/>
      <c r="AE2433" s="340"/>
      <c r="AI2433" s="340"/>
      <c r="AN2433" s="340"/>
      <c r="AO2433" s="340"/>
      <c r="AS2433" s="340"/>
      <c r="AX2433" s="340"/>
      <c r="BB2433" s="340"/>
      <c r="BD2433" s="339"/>
    </row>
    <row r="2434" spans="7:56" s="338" customFormat="1">
      <c r="G2434" s="340"/>
      <c r="L2434" s="340"/>
      <c r="P2434" s="340"/>
      <c r="U2434" s="340"/>
      <c r="V2434" s="340"/>
      <c r="Z2434" s="340"/>
      <c r="AE2434" s="340"/>
      <c r="AI2434" s="340"/>
      <c r="AN2434" s="340"/>
      <c r="AO2434" s="340"/>
      <c r="AS2434" s="340"/>
      <c r="AX2434" s="340"/>
      <c r="BB2434" s="340"/>
      <c r="BD2434" s="339"/>
    </row>
    <row r="2435" spans="7:56" s="338" customFormat="1">
      <c r="G2435" s="340"/>
      <c r="L2435" s="340"/>
      <c r="P2435" s="340"/>
      <c r="U2435" s="340"/>
      <c r="V2435" s="340"/>
      <c r="Z2435" s="340"/>
      <c r="AE2435" s="340"/>
      <c r="AI2435" s="340"/>
      <c r="AN2435" s="340"/>
      <c r="AO2435" s="340"/>
      <c r="AS2435" s="340"/>
      <c r="AX2435" s="340"/>
      <c r="BB2435" s="340"/>
      <c r="BD2435" s="339"/>
    </row>
    <row r="2436" spans="7:56" s="338" customFormat="1">
      <c r="G2436" s="340"/>
      <c r="L2436" s="340"/>
      <c r="P2436" s="340"/>
      <c r="U2436" s="340"/>
      <c r="V2436" s="340"/>
      <c r="Z2436" s="340"/>
      <c r="AE2436" s="340"/>
      <c r="AI2436" s="340"/>
      <c r="AN2436" s="340"/>
      <c r="AO2436" s="340"/>
      <c r="AS2436" s="340"/>
      <c r="AX2436" s="340"/>
      <c r="BB2436" s="340"/>
      <c r="BD2436" s="339"/>
    </row>
    <row r="2437" spans="7:56" s="338" customFormat="1">
      <c r="G2437" s="340"/>
      <c r="L2437" s="340"/>
      <c r="P2437" s="340"/>
      <c r="U2437" s="340"/>
      <c r="V2437" s="340"/>
      <c r="Z2437" s="340"/>
      <c r="AE2437" s="340"/>
      <c r="AI2437" s="340"/>
      <c r="AN2437" s="340"/>
      <c r="AO2437" s="340"/>
      <c r="AS2437" s="340"/>
      <c r="AX2437" s="340"/>
      <c r="BB2437" s="340"/>
      <c r="BD2437" s="339"/>
    </row>
    <row r="2438" spans="7:56" s="338" customFormat="1">
      <c r="G2438" s="340"/>
      <c r="L2438" s="340"/>
      <c r="P2438" s="340"/>
      <c r="U2438" s="340"/>
      <c r="V2438" s="340"/>
      <c r="Z2438" s="340"/>
      <c r="AE2438" s="340"/>
      <c r="AI2438" s="340"/>
      <c r="AN2438" s="340"/>
      <c r="AO2438" s="340"/>
      <c r="AS2438" s="340"/>
      <c r="AX2438" s="340"/>
      <c r="BB2438" s="340"/>
      <c r="BD2438" s="339"/>
    </row>
    <row r="2439" spans="7:56" s="338" customFormat="1">
      <c r="G2439" s="340"/>
      <c r="L2439" s="340"/>
      <c r="P2439" s="340"/>
      <c r="U2439" s="340"/>
      <c r="V2439" s="340"/>
      <c r="Z2439" s="340"/>
      <c r="AE2439" s="340"/>
      <c r="AI2439" s="340"/>
      <c r="AN2439" s="340"/>
      <c r="AO2439" s="340"/>
      <c r="AS2439" s="340"/>
      <c r="AX2439" s="340"/>
      <c r="BB2439" s="340"/>
      <c r="BD2439" s="339"/>
    </row>
    <row r="2440" spans="7:56" s="338" customFormat="1">
      <c r="G2440" s="340"/>
      <c r="L2440" s="340"/>
      <c r="P2440" s="340"/>
      <c r="U2440" s="340"/>
      <c r="V2440" s="340"/>
      <c r="Z2440" s="340"/>
      <c r="AE2440" s="340"/>
      <c r="AI2440" s="340"/>
      <c r="AN2440" s="340"/>
      <c r="AO2440" s="340"/>
      <c r="AS2440" s="340"/>
      <c r="AX2440" s="340"/>
      <c r="BB2440" s="340"/>
      <c r="BD2440" s="339"/>
    </row>
    <row r="2441" spans="7:56" s="338" customFormat="1">
      <c r="G2441" s="340"/>
      <c r="L2441" s="340"/>
      <c r="P2441" s="340"/>
      <c r="U2441" s="340"/>
      <c r="V2441" s="340"/>
      <c r="Z2441" s="340"/>
      <c r="AE2441" s="340"/>
      <c r="AI2441" s="340"/>
      <c r="AN2441" s="340"/>
      <c r="AO2441" s="340"/>
      <c r="AS2441" s="340"/>
      <c r="AX2441" s="340"/>
      <c r="BB2441" s="340"/>
      <c r="BD2441" s="339"/>
    </row>
    <row r="2442" spans="7:56" s="338" customFormat="1">
      <c r="G2442" s="340"/>
      <c r="L2442" s="340"/>
      <c r="P2442" s="340"/>
      <c r="U2442" s="340"/>
      <c r="V2442" s="340"/>
      <c r="Z2442" s="340"/>
      <c r="AE2442" s="340"/>
      <c r="AI2442" s="340"/>
      <c r="AN2442" s="340"/>
      <c r="AO2442" s="340"/>
      <c r="AS2442" s="340"/>
      <c r="AX2442" s="340"/>
      <c r="BB2442" s="340"/>
      <c r="BD2442" s="339"/>
    </row>
    <row r="2443" spans="7:56" s="338" customFormat="1">
      <c r="G2443" s="340"/>
      <c r="L2443" s="340"/>
      <c r="P2443" s="340"/>
      <c r="U2443" s="340"/>
      <c r="V2443" s="340"/>
      <c r="Z2443" s="340"/>
      <c r="AE2443" s="340"/>
      <c r="AI2443" s="340"/>
      <c r="AN2443" s="340"/>
      <c r="AO2443" s="340"/>
      <c r="AS2443" s="340"/>
      <c r="AX2443" s="340"/>
      <c r="BB2443" s="340"/>
      <c r="BD2443" s="339"/>
    </row>
    <row r="2444" spans="7:56" s="338" customFormat="1">
      <c r="G2444" s="340"/>
      <c r="L2444" s="340"/>
      <c r="P2444" s="340"/>
      <c r="U2444" s="340"/>
      <c r="V2444" s="340"/>
      <c r="Z2444" s="340"/>
      <c r="AE2444" s="340"/>
      <c r="AI2444" s="340"/>
      <c r="AN2444" s="340"/>
      <c r="AO2444" s="340"/>
      <c r="AS2444" s="340"/>
      <c r="AX2444" s="340"/>
      <c r="BB2444" s="340"/>
      <c r="BD2444" s="339"/>
    </row>
    <row r="2445" spans="7:56" s="338" customFormat="1">
      <c r="G2445" s="340"/>
      <c r="L2445" s="340"/>
      <c r="P2445" s="340"/>
      <c r="U2445" s="340"/>
      <c r="V2445" s="340"/>
      <c r="Z2445" s="340"/>
      <c r="AE2445" s="340"/>
      <c r="AI2445" s="340"/>
      <c r="AN2445" s="340"/>
      <c r="AO2445" s="340"/>
      <c r="AS2445" s="340"/>
      <c r="AX2445" s="340"/>
      <c r="BB2445" s="340"/>
      <c r="BD2445" s="339"/>
    </row>
    <row r="2446" spans="7:56" s="338" customFormat="1">
      <c r="G2446" s="340"/>
      <c r="L2446" s="340"/>
      <c r="P2446" s="340"/>
      <c r="U2446" s="340"/>
      <c r="V2446" s="340"/>
      <c r="Z2446" s="340"/>
      <c r="AE2446" s="340"/>
      <c r="AI2446" s="340"/>
      <c r="AN2446" s="340"/>
      <c r="AO2446" s="340"/>
      <c r="AS2446" s="340"/>
      <c r="AX2446" s="340"/>
      <c r="BB2446" s="340"/>
      <c r="BD2446" s="339"/>
    </row>
    <row r="2447" spans="7:56" s="338" customFormat="1">
      <c r="G2447" s="340"/>
      <c r="L2447" s="340"/>
      <c r="P2447" s="340"/>
      <c r="U2447" s="340"/>
      <c r="V2447" s="340"/>
      <c r="Z2447" s="340"/>
      <c r="AE2447" s="340"/>
      <c r="AI2447" s="340"/>
      <c r="AN2447" s="340"/>
      <c r="AO2447" s="340"/>
      <c r="AS2447" s="340"/>
      <c r="AX2447" s="340"/>
      <c r="BB2447" s="340"/>
      <c r="BD2447" s="339"/>
    </row>
    <row r="2448" spans="7:56" s="338" customFormat="1">
      <c r="G2448" s="340"/>
      <c r="L2448" s="340"/>
      <c r="P2448" s="340"/>
      <c r="U2448" s="340"/>
      <c r="V2448" s="340"/>
      <c r="Z2448" s="340"/>
      <c r="AE2448" s="340"/>
      <c r="AI2448" s="340"/>
      <c r="AN2448" s="340"/>
      <c r="AO2448" s="340"/>
      <c r="AS2448" s="340"/>
      <c r="AX2448" s="340"/>
      <c r="BB2448" s="340"/>
      <c r="BD2448" s="339"/>
    </row>
    <row r="2449" spans="7:56" s="338" customFormat="1">
      <c r="G2449" s="340"/>
      <c r="L2449" s="340"/>
      <c r="P2449" s="340"/>
      <c r="U2449" s="340"/>
      <c r="V2449" s="340"/>
      <c r="Z2449" s="340"/>
      <c r="AE2449" s="340"/>
      <c r="AI2449" s="340"/>
      <c r="AN2449" s="340"/>
      <c r="AO2449" s="340"/>
      <c r="AS2449" s="340"/>
      <c r="AX2449" s="340"/>
      <c r="BB2449" s="340"/>
      <c r="BD2449" s="339"/>
    </row>
    <row r="2450" spans="7:56" s="338" customFormat="1">
      <c r="G2450" s="340"/>
      <c r="L2450" s="340"/>
      <c r="P2450" s="340"/>
      <c r="U2450" s="340"/>
      <c r="V2450" s="340"/>
      <c r="Z2450" s="340"/>
      <c r="AE2450" s="340"/>
      <c r="AI2450" s="340"/>
      <c r="AN2450" s="340"/>
      <c r="AO2450" s="340"/>
      <c r="AS2450" s="340"/>
      <c r="AX2450" s="340"/>
      <c r="BB2450" s="340"/>
      <c r="BD2450" s="339"/>
    </row>
    <row r="2451" spans="7:56" s="338" customFormat="1">
      <c r="G2451" s="340"/>
      <c r="L2451" s="340"/>
      <c r="P2451" s="340"/>
      <c r="U2451" s="340"/>
      <c r="V2451" s="340"/>
      <c r="Z2451" s="340"/>
      <c r="AE2451" s="340"/>
      <c r="AI2451" s="340"/>
      <c r="AN2451" s="340"/>
      <c r="AO2451" s="340"/>
      <c r="AS2451" s="340"/>
      <c r="AX2451" s="340"/>
      <c r="BB2451" s="340"/>
      <c r="BD2451" s="339"/>
    </row>
    <row r="2452" spans="7:56" s="338" customFormat="1">
      <c r="G2452" s="340"/>
      <c r="L2452" s="340"/>
      <c r="P2452" s="340"/>
      <c r="U2452" s="340"/>
      <c r="V2452" s="340"/>
      <c r="Z2452" s="340"/>
      <c r="AE2452" s="340"/>
      <c r="AI2452" s="340"/>
      <c r="AN2452" s="340"/>
      <c r="AO2452" s="340"/>
      <c r="AS2452" s="340"/>
      <c r="AX2452" s="340"/>
      <c r="BB2452" s="340"/>
      <c r="BD2452" s="339"/>
    </row>
    <row r="2453" spans="7:56" s="338" customFormat="1">
      <c r="G2453" s="340"/>
      <c r="L2453" s="340"/>
      <c r="P2453" s="340"/>
      <c r="U2453" s="340"/>
      <c r="V2453" s="340"/>
      <c r="Z2453" s="340"/>
      <c r="AE2453" s="340"/>
      <c r="AI2453" s="340"/>
      <c r="AN2453" s="340"/>
      <c r="AO2453" s="340"/>
      <c r="AS2453" s="340"/>
      <c r="AX2453" s="340"/>
      <c r="BB2453" s="340"/>
      <c r="BD2453" s="339"/>
    </row>
    <row r="2454" spans="7:56" s="338" customFormat="1">
      <c r="G2454" s="340"/>
      <c r="L2454" s="340"/>
      <c r="P2454" s="340"/>
      <c r="U2454" s="340"/>
      <c r="V2454" s="340"/>
      <c r="Z2454" s="340"/>
      <c r="AE2454" s="340"/>
      <c r="AI2454" s="340"/>
      <c r="AN2454" s="340"/>
      <c r="AO2454" s="340"/>
      <c r="AS2454" s="340"/>
      <c r="AX2454" s="340"/>
      <c r="BB2454" s="340"/>
      <c r="BD2454" s="339"/>
    </row>
    <row r="2455" spans="7:56" s="338" customFormat="1">
      <c r="G2455" s="340"/>
      <c r="L2455" s="340"/>
      <c r="P2455" s="340"/>
      <c r="U2455" s="340"/>
      <c r="V2455" s="340"/>
      <c r="Z2455" s="340"/>
      <c r="AE2455" s="340"/>
      <c r="AI2455" s="340"/>
      <c r="AN2455" s="340"/>
      <c r="AO2455" s="340"/>
      <c r="AS2455" s="340"/>
      <c r="AX2455" s="340"/>
      <c r="BB2455" s="340"/>
      <c r="BD2455" s="339"/>
    </row>
    <row r="2456" spans="7:56" s="338" customFormat="1">
      <c r="G2456" s="340"/>
      <c r="L2456" s="340"/>
      <c r="P2456" s="340"/>
      <c r="U2456" s="340"/>
      <c r="V2456" s="340"/>
      <c r="Z2456" s="340"/>
      <c r="AE2456" s="340"/>
      <c r="AI2456" s="340"/>
      <c r="AN2456" s="340"/>
      <c r="AO2456" s="340"/>
      <c r="AS2456" s="340"/>
      <c r="AX2456" s="340"/>
      <c r="BB2456" s="340"/>
      <c r="BD2456" s="339"/>
    </row>
    <row r="2457" spans="7:56" s="338" customFormat="1">
      <c r="G2457" s="340"/>
      <c r="L2457" s="340"/>
      <c r="P2457" s="340"/>
      <c r="U2457" s="340"/>
      <c r="V2457" s="340"/>
      <c r="Z2457" s="340"/>
      <c r="AE2457" s="340"/>
      <c r="AI2457" s="340"/>
      <c r="AN2457" s="340"/>
      <c r="AO2457" s="340"/>
      <c r="AS2457" s="340"/>
      <c r="AX2457" s="340"/>
      <c r="BB2457" s="340"/>
      <c r="BD2457" s="339"/>
    </row>
    <row r="2458" spans="7:56" s="338" customFormat="1">
      <c r="G2458" s="340"/>
      <c r="L2458" s="340"/>
      <c r="P2458" s="340"/>
      <c r="U2458" s="340"/>
      <c r="V2458" s="340"/>
      <c r="Z2458" s="340"/>
      <c r="AE2458" s="340"/>
      <c r="AI2458" s="340"/>
      <c r="AN2458" s="340"/>
      <c r="AO2458" s="340"/>
      <c r="AS2458" s="340"/>
      <c r="AX2458" s="340"/>
      <c r="BB2458" s="340"/>
      <c r="BD2458" s="339"/>
    </row>
    <row r="2459" spans="7:56" s="338" customFormat="1">
      <c r="G2459" s="340"/>
      <c r="L2459" s="340"/>
      <c r="P2459" s="340"/>
      <c r="U2459" s="340"/>
      <c r="V2459" s="340"/>
      <c r="Z2459" s="340"/>
      <c r="AE2459" s="340"/>
      <c r="AI2459" s="340"/>
      <c r="AN2459" s="340"/>
      <c r="AO2459" s="340"/>
      <c r="AS2459" s="340"/>
      <c r="AX2459" s="340"/>
      <c r="BB2459" s="340"/>
      <c r="BD2459" s="339"/>
    </row>
    <row r="2460" spans="7:56" s="338" customFormat="1">
      <c r="G2460" s="340"/>
      <c r="L2460" s="340"/>
      <c r="P2460" s="340"/>
      <c r="U2460" s="340"/>
      <c r="V2460" s="340"/>
      <c r="Z2460" s="340"/>
      <c r="AE2460" s="340"/>
      <c r="AI2460" s="340"/>
      <c r="AN2460" s="340"/>
      <c r="AO2460" s="340"/>
      <c r="AS2460" s="340"/>
      <c r="AX2460" s="340"/>
      <c r="BB2460" s="340"/>
      <c r="BD2460" s="339"/>
    </row>
    <row r="2461" spans="7:56" s="338" customFormat="1">
      <c r="G2461" s="340"/>
      <c r="L2461" s="340"/>
      <c r="P2461" s="340"/>
      <c r="U2461" s="340"/>
      <c r="V2461" s="340"/>
      <c r="Z2461" s="340"/>
      <c r="AE2461" s="340"/>
      <c r="AI2461" s="340"/>
      <c r="AN2461" s="340"/>
      <c r="AO2461" s="340"/>
      <c r="AS2461" s="340"/>
      <c r="AX2461" s="340"/>
      <c r="BB2461" s="340"/>
      <c r="BD2461" s="339"/>
    </row>
    <row r="2462" spans="7:56" s="338" customFormat="1">
      <c r="G2462" s="340"/>
      <c r="L2462" s="340"/>
      <c r="P2462" s="340"/>
      <c r="U2462" s="340"/>
      <c r="V2462" s="340"/>
      <c r="Z2462" s="340"/>
      <c r="AE2462" s="340"/>
      <c r="AI2462" s="340"/>
      <c r="AN2462" s="340"/>
      <c r="AO2462" s="340"/>
      <c r="AS2462" s="340"/>
      <c r="AX2462" s="340"/>
      <c r="BB2462" s="340"/>
      <c r="BD2462" s="339"/>
    </row>
    <row r="2463" spans="7:56" s="338" customFormat="1">
      <c r="G2463" s="340"/>
      <c r="L2463" s="340"/>
      <c r="P2463" s="340"/>
      <c r="U2463" s="340"/>
      <c r="V2463" s="340"/>
      <c r="Z2463" s="340"/>
      <c r="AE2463" s="340"/>
      <c r="AI2463" s="340"/>
      <c r="AN2463" s="340"/>
      <c r="AO2463" s="340"/>
      <c r="AS2463" s="340"/>
      <c r="AX2463" s="340"/>
      <c r="BB2463" s="340"/>
      <c r="BD2463" s="339"/>
    </row>
    <row r="2464" spans="7:56" s="338" customFormat="1">
      <c r="G2464" s="340"/>
      <c r="L2464" s="340"/>
      <c r="P2464" s="340"/>
      <c r="U2464" s="340"/>
      <c r="V2464" s="340"/>
      <c r="Z2464" s="340"/>
      <c r="AE2464" s="340"/>
      <c r="AI2464" s="340"/>
      <c r="AN2464" s="340"/>
      <c r="AO2464" s="340"/>
      <c r="AS2464" s="340"/>
      <c r="AX2464" s="340"/>
      <c r="BB2464" s="340"/>
      <c r="BD2464" s="339"/>
    </row>
    <row r="2465" spans="7:56" s="338" customFormat="1">
      <c r="G2465" s="340"/>
      <c r="L2465" s="340"/>
      <c r="P2465" s="340"/>
      <c r="U2465" s="340"/>
      <c r="V2465" s="340"/>
      <c r="Z2465" s="340"/>
      <c r="AE2465" s="340"/>
      <c r="AI2465" s="340"/>
      <c r="AN2465" s="340"/>
      <c r="AO2465" s="340"/>
      <c r="AS2465" s="340"/>
      <c r="AX2465" s="340"/>
      <c r="BB2465" s="340"/>
      <c r="BD2465" s="339"/>
    </row>
    <row r="2466" spans="7:56" s="338" customFormat="1">
      <c r="G2466" s="340"/>
      <c r="L2466" s="340"/>
      <c r="P2466" s="340"/>
      <c r="U2466" s="340"/>
      <c r="V2466" s="340"/>
      <c r="Z2466" s="340"/>
      <c r="AE2466" s="340"/>
      <c r="AI2466" s="340"/>
      <c r="AN2466" s="340"/>
      <c r="AO2466" s="340"/>
      <c r="AS2466" s="340"/>
      <c r="AX2466" s="340"/>
      <c r="BB2466" s="340"/>
      <c r="BD2466" s="339"/>
    </row>
    <row r="2467" spans="7:56" s="338" customFormat="1">
      <c r="G2467" s="340"/>
      <c r="L2467" s="340"/>
      <c r="P2467" s="340"/>
      <c r="U2467" s="340"/>
      <c r="V2467" s="340"/>
      <c r="Z2467" s="340"/>
      <c r="AE2467" s="340"/>
      <c r="AI2467" s="340"/>
      <c r="AN2467" s="340"/>
      <c r="AO2467" s="340"/>
      <c r="AS2467" s="340"/>
      <c r="AX2467" s="340"/>
      <c r="BB2467" s="340"/>
      <c r="BD2467" s="339"/>
    </row>
    <row r="2468" spans="7:56" s="338" customFormat="1">
      <c r="G2468" s="340"/>
      <c r="L2468" s="340"/>
      <c r="P2468" s="340"/>
      <c r="U2468" s="340"/>
      <c r="V2468" s="340"/>
      <c r="Z2468" s="340"/>
      <c r="AE2468" s="340"/>
      <c r="AI2468" s="340"/>
      <c r="AN2468" s="340"/>
      <c r="AO2468" s="340"/>
      <c r="AS2468" s="340"/>
      <c r="AX2468" s="340"/>
      <c r="BB2468" s="340"/>
      <c r="BD2468" s="339"/>
    </row>
    <row r="2469" spans="7:56" s="338" customFormat="1">
      <c r="G2469" s="340"/>
      <c r="L2469" s="340"/>
      <c r="P2469" s="340"/>
      <c r="U2469" s="340"/>
      <c r="V2469" s="340"/>
      <c r="Z2469" s="340"/>
      <c r="AE2469" s="340"/>
      <c r="AI2469" s="340"/>
      <c r="AN2469" s="340"/>
      <c r="AO2469" s="340"/>
      <c r="AS2469" s="340"/>
      <c r="AX2469" s="340"/>
      <c r="BB2469" s="340"/>
      <c r="BD2469" s="339"/>
    </row>
    <row r="2470" spans="7:56" s="338" customFormat="1">
      <c r="G2470" s="340"/>
      <c r="L2470" s="340"/>
      <c r="P2470" s="340"/>
      <c r="U2470" s="340"/>
      <c r="V2470" s="340"/>
      <c r="Z2470" s="340"/>
      <c r="AE2470" s="340"/>
      <c r="AI2470" s="340"/>
      <c r="AN2470" s="340"/>
      <c r="AO2470" s="340"/>
      <c r="AS2470" s="340"/>
      <c r="AX2470" s="340"/>
      <c r="BB2470" s="340"/>
      <c r="BD2470" s="339"/>
    </row>
    <row r="2471" spans="7:56" s="338" customFormat="1">
      <c r="G2471" s="340"/>
      <c r="L2471" s="340"/>
      <c r="P2471" s="340"/>
      <c r="U2471" s="340"/>
      <c r="V2471" s="340"/>
      <c r="Z2471" s="340"/>
      <c r="AE2471" s="340"/>
      <c r="AI2471" s="340"/>
      <c r="AN2471" s="340"/>
      <c r="AO2471" s="340"/>
      <c r="AS2471" s="340"/>
      <c r="AX2471" s="340"/>
      <c r="BB2471" s="340"/>
      <c r="BD2471" s="339"/>
    </row>
    <row r="2472" spans="7:56" s="338" customFormat="1">
      <c r="G2472" s="340"/>
      <c r="L2472" s="340"/>
      <c r="P2472" s="340"/>
      <c r="U2472" s="340"/>
      <c r="V2472" s="340"/>
      <c r="Z2472" s="340"/>
      <c r="AE2472" s="340"/>
      <c r="AI2472" s="340"/>
      <c r="AN2472" s="340"/>
      <c r="AO2472" s="340"/>
      <c r="AS2472" s="340"/>
      <c r="AX2472" s="340"/>
      <c r="BB2472" s="340"/>
      <c r="BD2472" s="339"/>
    </row>
    <row r="2473" spans="7:56" s="338" customFormat="1">
      <c r="G2473" s="340"/>
      <c r="L2473" s="340"/>
      <c r="P2473" s="340"/>
      <c r="U2473" s="340"/>
      <c r="V2473" s="340"/>
      <c r="Z2473" s="340"/>
      <c r="AE2473" s="340"/>
      <c r="AI2473" s="340"/>
      <c r="AN2473" s="340"/>
      <c r="AO2473" s="340"/>
      <c r="AS2473" s="340"/>
      <c r="AX2473" s="340"/>
      <c r="BB2473" s="340"/>
      <c r="BD2473" s="339"/>
    </row>
    <row r="2474" spans="7:56" s="338" customFormat="1">
      <c r="G2474" s="340"/>
      <c r="L2474" s="340"/>
      <c r="P2474" s="340"/>
      <c r="U2474" s="340"/>
      <c r="V2474" s="340"/>
      <c r="Z2474" s="340"/>
      <c r="AE2474" s="340"/>
      <c r="AI2474" s="340"/>
      <c r="AN2474" s="340"/>
      <c r="AO2474" s="340"/>
      <c r="AS2474" s="340"/>
      <c r="AX2474" s="340"/>
      <c r="BB2474" s="340"/>
      <c r="BD2474" s="339"/>
    </row>
    <row r="2475" spans="7:56" s="338" customFormat="1">
      <c r="G2475" s="340"/>
      <c r="L2475" s="340"/>
      <c r="P2475" s="340"/>
      <c r="U2475" s="340"/>
      <c r="V2475" s="340"/>
      <c r="Z2475" s="340"/>
      <c r="AE2475" s="340"/>
      <c r="AI2475" s="340"/>
      <c r="AN2475" s="340"/>
      <c r="AO2475" s="340"/>
      <c r="AS2475" s="340"/>
      <c r="AX2475" s="340"/>
      <c r="BB2475" s="340"/>
      <c r="BD2475" s="339"/>
    </row>
    <row r="2476" spans="7:56" s="338" customFormat="1">
      <c r="G2476" s="340"/>
      <c r="L2476" s="340"/>
      <c r="P2476" s="340"/>
      <c r="U2476" s="340"/>
      <c r="V2476" s="340"/>
      <c r="Z2476" s="340"/>
      <c r="AE2476" s="340"/>
      <c r="AI2476" s="340"/>
      <c r="AN2476" s="340"/>
      <c r="AO2476" s="340"/>
      <c r="AS2476" s="340"/>
      <c r="AX2476" s="340"/>
      <c r="BB2476" s="340"/>
      <c r="BD2476" s="339"/>
    </row>
    <row r="2477" spans="7:56" s="338" customFormat="1">
      <c r="G2477" s="340"/>
      <c r="L2477" s="340"/>
      <c r="P2477" s="340"/>
      <c r="U2477" s="340"/>
      <c r="V2477" s="340"/>
      <c r="Z2477" s="340"/>
      <c r="AE2477" s="340"/>
      <c r="AI2477" s="340"/>
      <c r="AN2477" s="340"/>
      <c r="AO2477" s="340"/>
      <c r="AS2477" s="340"/>
      <c r="AX2477" s="340"/>
      <c r="BB2477" s="340"/>
      <c r="BD2477" s="339"/>
    </row>
    <row r="2478" spans="7:56" s="338" customFormat="1">
      <c r="G2478" s="340"/>
      <c r="L2478" s="340"/>
      <c r="P2478" s="340"/>
      <c r="U2478" s="340"/>
      <c r="V2478" s="340"/>
      <c r="Z2478" s="340"/>
      <c r="AE2478" s="340"/>
      <c r="AI2478" s="340"/>
      <c r="AN2478" s="340"/>
      <c r="AO2478" s="340"/>
      <c r="AS2478" s="340"/>
      <c r="AX2478" s="340"/>
      <c r="BB2478" s="340"/>
      <c r="BD2478" s="339"/>
    </row>
    <row r="2479" spans="7:56" s="338" customFormat="1">
      <c r="G2479" s="340"/>
      <c r="L2479" s="340"/>
      <c r="P2479" s="340"/>
      <c r="U2479" s="340"/>
      <c r="V2479" s="340"/>
      <c r="Z2479" s="340"/>
      <c r="AE2479" s="340"/>
      <c r="AI2479" s="340"/>
      <c r="AN2479" s="340"/>
      <c r="AO2479" s="340"/>
      <c r="AS2479" s="340"/>
      <c r="AX2479" s="340"/>
      <c r="BB2479" s="340"/>
      <c r="BD2479" s="339"/>
    </row>
    <row r="2480" spans="7:56" s="338" customFormat="1">
      <c r="G2480" s="340"/>
      <c r="L2480" s="340"/>
      <c r="P2480" s="340"/>
      <c r="U2480" s="340"/>
      <c r="V2480" s="340"/>
      <c r="Z2480" s="340"/>
      <c r="AE2480" s="340"/>
      <c r="AI2480" s="340"/>
      <c r="AN2480" s="340"/>
      <c r="AO2480" s="340"/>
      <c r="AS2480" s="340"/>
      <c r="AX2480" s="340"/>
      <c r="BB2480" s="340"/>
      <c r="BD2480" s="339"/>
    </row>
    <row r="2481" spans="7:56" s="338" customFormat="1">
      <c r="G2481" s="340"/>
      <c r="L2481" s="340"/>
      <c r="P2481" s="340"/>
      <c r="U2481" s="340"/>
      <c r="V2481" s="340"/>
      <c r="Z2481" s="340"/>
      <c r="AE2481" s="340"/>
      <c r="AI2481" s="340"/>
      <c r="AN2481" s="340"/>
      <c r="AO2481" s="340"/>
      <c r="AS2481" s="340"/>
      <c r="AX2481" s="340"/>
      <c r="BB2481" s="340"/>
      <c r="BD2481" s="339"/>
    </row>
    <row r="2482" spans="7:56" s="338" customFormat="1">
      <c r="G2482" s="340"/>
      <c r="L2482" s="340"/>
      <c r="P2482" s="340"/>
      <c r="U2482" s="340"/>
      <c r="V2482" s="340"/>
      <c r="Z2482" s="340"/>
      <c r="AE2482" s="340"/>
      <c r="AI2482" s="340"/>
      <c r="AN2482" s="340"/>
      <c r="AO2482" s="340"/>
      <c r="AS2482" s="340"/>
      <c r="AX2482" s="340"/>
      <c r="BB2482" s="340"/>
      <c r="BD2482" s="339"/>
    </row>
    <row r="2483" spans="7:56" s="338" customFormat="1">
      <c r="G2483" s="340"/>
      <c r="L2483" s="340"/>
      <c r="P2483" s="340"/>
      <c r="U2483" s="340"/>
      <c r="V2483" s="340"/>
      <c r="Z2483" s="340"/>
      <c r="AE2483" s="340"/>
      <c r="AI2483" s="340"/>
      <c r="AN2483" s="340"/>
      <c r="AO2483" s="340"/>
      <c r="AS2483" s="340"/>
      <c r="AX2483" s="340"/>
      <c r="BB2483" s="340"/>
      <c r="BD2483" s="339"/>
    </row>
    <row r="2484" spans="7:56" s="338" customFormat="1">
      <c r="G2484" s="340"/>
      <c r="L2484" s="340"/>
      <c r="P2484" s="340"/>
      <c r="U2484" s="340"/>
      <c r="V2484" s="340"/>
      <c r="Z2484" s="340"/>
      <c r="AE2484" s="340"/>
      <c r="AI2484" s="340"/>
      <c r="AN2484" s="340"/>
      <c r="AO2484" s="340"/>
      <c r="AS2484" s="340"/>
      <c r="AX2484" s="340"/>
      <c r="BB2484" s="340"/>
      <c r="BD2484" s="339"/>
    </row>
    <row r="2485" spans="7:56" s="338" customFormat="1">
      <c r="G2485" s="340"/>
      <c r="L2485" s="340"/>
      <c r="P2485" s="340"/>
      <c r="U2485" s="340"/>
      <c r="V2485" s="340"/>
      <c r="Z2485" s="340"/>
      <c r="AE2485" s="340"/>
      <c r="AI2485" s="340"/>
      <c r="AN2485" s="340"/>
      <c r="AO2485" s="340"/>
      <c r="AS2485" s="340"/>
      <c r="AX2485" s="340"/>
      <c r="BB2485" s="340"/>
      <c r="BD2485" s="339"/>
    </row>
    <row r="2486" spans="7:56" s="338" customFormat="1">
      <c r="G2486" s="340"/>
      <c r="L2486" s="340"/>
      <c r="P2486" s="340"/>
      <c r="U2486" s="340"/>
      <c r="V2486" s="340"/>
      <c r="Z2486" s="340"/>
      <c r="AE2486" s="340"/>
      <c r="AI2486" s="340"/>
      <c r="AN2486" s="340"/>
      <c r="AO2486" s="340"/>
      <c r="AS2486" s="340"/>
      <c r="AX2486" s="340"/>
      <c r="BB2486" s="340"/>
      <c r="BD2486" s="339"/>
    </row>
    <row r="2487" spans="7:56" s="338" customFormat="1">
      <c r="G2487" s="340"/>
      <c r="L2487" s="340"/>
      <c r="P2487" s="340"/>
      <c r="U2487" s="340"/>
      <c r="V2487" s="340"/>
      <c r="Z2487" s="340"/>
      <c r="AE2487" s="340"/>
      <c r="AI2487" s="340"/>
      <c r="AN2487" s="340"/>
      <c r="AO2487" s="340"/>
      <c r="AS2487" s="340"/>
      <c r="AX2487" s="340"/>
      <c r="BB2487" s="340"/>
      <c r="BD2487" s="339"/>
    </row>
    <row r="2488" spans="7:56" s="338" customFormat="1">
      <c r="G2488" s="340"/>
      <c r="L2488" s="340"/>
      <c r="P2488" s="340"/>
      <c r="U2488" s="340"/>
      <c r="V2488" s="340"/>
      <c r="Z2488" s="340"/>
      <c r="AE2488" s="340"/>
      <c r="AI2488" s="340"/>
      <c r="AN2488" s="340"/>
      <c r="AO2488" s="340"/>
      <c r="AS2488" s="340"/>
      <c r="AX2488" s="340"/>
      <c r="BB2488" s="340"/>
      <c r="BD2488" s="339"/>
    </row>
    <row r="2489" spans="7:56" s="338" customFormat="1">
      <c r="G2489" s="340"/>
      <c r="L2489" s="340"/>
      <c r="P2489" s="340"/>
      <c r="U2489" s="340"/>
      <c r="V2489" s="340"/>
      <c r="Z2489" s="340"/>
      <c r="AE2489" s="340"/>
      <c r="AI2489" s="340"/>
      <c r="AN2489" s="340"/>
      <c r="AO2489" s="340"/>
      <c r="AS2489" s="340"/>
      <c r="AX2489" s="340"/>
      <c r="BB2489" s="340"/>
      <c r="BD2489" s="339"/>
    </row>
    <row r="2490" spans="7:56" s="338" customFormat="1">
      <c r="G2490" s="340"/>
      <c r="L2490" s="340"/>
      <c r="P2490" s="340"/>
      <c r="U2490" s="340"/>
      <c r="V2490" s="340"/>
      <c r="Z2490" s="340"/>
      <c r="AE2490" s="340"/>
      <c r="AI2490" s="340"/>
      <c r="AN2490" s="340"/>
      <c r="AO2490" s="340"/>
      <c r="AS2490" s="340"/>
      <c r="AX2490" s="340"/>
      <c r="BB2490" s="340"/>
      <c r="BD2490" s="339"/>
    </row>
    <row r="2491" spans="7:56" s="338" customFormat="1">
      <c r="G2491" s="340"/>
      <c r="L2491" s="340"/>
      <c r="P2491" s="340"/>
      <c r="U2491" s="340"/>
      <c r="V2491" s="340"/>
      <c r="Z2491" s="340"/>
      <c r="AE2491" s="340"/>
      <c r="AI2491" s="340"/>
      <c r="AN2491" s="340"/>
      <c r="AO2491" s="340"/>
      <c r="AS2491" s="340"/>
      <c r="AX2491" s="340"/>
      <c r="BB2491" s="340"/>
      <c r="BD2491" s="339"/>
    </row>
    <row r="2492" spans="7:56" s="338" customFormat="1">
      <c r="G2492" s="340"/>
      <c r="L2492" s="340"/>
      <c r="P2492" s="340"/>
      <c r="U2492" s="340"/>
      <c r="V2492" s="340"/>
      <c r="Z2492" s="340"/>
      <c r="AE2492" s="340"/>
      <c r="AI2492" s="340"/>
      <c r="AN2492" s="340"/>
      <c r="AO2492" s="340"/>
      <c r="AS2492" s="340"/>
      <c r="AX2492" s="340"/>
      <c r="BB2492" s="340"/>
      <c r="BD2492" s="339"/>
    </row>
    <row r="2493" spans="7:56" s="338" customFormat="1">
      <c r="G2493" s="340"/>
      <c r="L2493" s="340"/>
      <c r="P2493" s="340"/>
      <c r="U2493" s="340"/>
      <c r="V2493" s="340"/>
      <c r="Z2493" s="340"/>
      <c r="AE2493" s="340"/>
      <c r="AI2493" s="340"/>
      <c r="AN2493" s="340"/>
      <c r="AO2493" s="340"/>
      <c r="AS2493" s="340"/>
      <c r="AX2493" s="340"/>
      <c r="BB2493" s="340"/>
      <c r="BD2493" s="339"/>
    </row>
    <row r="2494" spans="7:56" s="338" customFormat="1">
      <c r="G2494" s="340"/>
      <c r="L2494" s="340"/>
      <c r="P2494" s="340"/>
      <c r="U2494" s="340"/>
      <c r="V2494" s="340"/>
      <c r="Z2494" s="340"/>
      <c r="AE2494" s="340"/>
      <c r="AI2494" s="340"/>
      <c r="AN2494" s="340"/>
      <c r="AO2494" s="340"/>
      <c r="AS2494" s="340"/>
      <c r="AX2494" s="340"/>
      <c r="BB2494" s="340"/>
      <c r="BD2494" s="339"/>
    </row>
    <row r="2495" spans="7:56" s="338" customFormat="1">
      <c r="G2495" s="340"/>
      <c r="L2495" s="340"/>
      <c r="P2495" s="340"/>
      <c r="U2495" s="340"/>
      <c r="V2495" s="340"/>
      <c r="Z2495" s="340"/>
      <c r="AE2495" s="340"/>
      <c r="AI2495" s="340"/>
      <c r="AN2495" s="340"/>
      <c r="AO2495" s="340"/>
      <c r="AS2495" s="340"/>
      <c r="AX2495" s="340"/>
      <c r="BB2495" s="340"/>
      <c r="BD2495" s="339"/>
    </row>
    <row r="2496" spans="7:56" s="338" customFormat="1">
      <c r="G2496" s="340"/>
      <c r="L2496" s="340"/>
      <c r="P2496" s="340"/>
      <c r="U2496" s="340"/>
      <c r="V2496" s="340"/>
      <c r="Z2496" s="340"/>
      <c r="AE2496" s="340"/>
      <c r="AI2496" s="340"/>
      <c r="AN2496" s="340"/>
      <c r="AO2496" s="340"/>
      <c r="AS2496" s="340"/>
      <c r="AX2496" s="340"/>
      <c r="BB2496" s="340"/>
      <c r="BD2496" s="339"/>
    </row>
    <row r="2497" spans="7:56" s="338" customFormat="1">
      <c r="G2497" s="340"/>
      <c r="L2497" s="340"/>
      <c r="P2497" s="340"/>
      <c r="U2497" s="340"/>
      <c r="V2497" s="340"/>
      <c r="Z2497" s="340"/>
      <c r="AE2497" s="340"/>
      <c r="AI2497" s="340"/>
      <c r="AN2497" s="340"/>
      <c r="AO2497" s="340"/>
      <c r="AS2497" s="340"/>
      <c r="AX2497" s="340"/>
      <c r="BB2497" s="340"/>
      <c r="BD2497" s="339"/>
    </row>
    <row r="2498" spans="7:56" s="338" customFormat="1">
      <c r="G2498" s="340"/>
      <c r="L2498" s="340"/>
      <c r="P2498" s="340"/>
      <c r="U2498" s="340"/>
      <c r="V2498" s="340"/>
      <c r="Z2498" s="340"/>
      <c r="AE2498" s="340"/>
      <c r="AI2498" s="340"/>
      <c r="AN2498" s="340"/>
      <c r="AO2498" s="340"/>
      <c r="AS2498" s="340"/>
      <c r="AX2498" s="340"/>
      <c r="BB2498" s="340"/>
      <c r="BD2498" s="339"/>
    </row>
    <row r="2499" spans="7:56" s="338" customFormat="1">
      <c r="G2499" s="340"/>
      <c r="L2499" s="340"/>
      <c r="P2499" s="340"/>
      <c r="U2499" s="340"/>
      <c r="V2499" s="340"/>
      <c r="Z2499" s="340"/>
      <c r="AE2499" s="340"/>
      <c r="AI2499" s="340"/>
      <c r="AN2499" s="340"/>
      <c r="AO2499" s="340"/>
      <c r="AS2499" s="340"/>
      <c r="AX2499" s="340"/>
      <c r="BB2499" s="340"/>
      <c r="BD2499" s="339"/>
    </row>
    <row r="2500" spans="7:56" s="338" customFormat="1">
      <c r="G2500" s="340"/>
      <c r="L2500" s="340"/>
      <c r="P2500" s="340"/>
      <c r="U2500" s="340"/>
      <c r="V2500" s="340"/>
      <c r="Z2500" s="340"/>
      <c r="AE2500" s="340"/>
      <c r="AI2500" s="340"/>
      <c r="AN2500" s="340"/>
      <c r="AO2500" s="340"/>
      <c r="AS2500" s="340"/>
      <c r="AX2500" s="340"/>
      <c r="BB2500" s="340"/>
      <c r="BD2500" s="339"/>
    </row>
    <row r="2501" spans="7:56" s="338" customFormat="1">
      <c r="G2501" s="340"/>
      <c r="L2501" s="340"/>
      <c r="P2501" s="340"/>
      <c r="U2501" s="340"/>
      <c r="V2501" s="340"/>
      <c r="Z2501" s="340"/>
      <c r="AE2501" s="340"/>
      <c r="AI2501" s="340"/>
      <c r="AN2501" s="340"/>
      <c r="AO2501" s="340"/>
      <c r="AS2501" s="340"/>
      <c r="AX2501" s="340"/>
      <c r="BB2501" s="340"/>
      <c r="BD2501" s="339"/>
    </row>
    <row r="2502" spans="7:56" s="338" customFormat="1">
      <c r="G2502" s="340"/>
      <c r="L2502" s="340"/>
      <c r="P2502" s="340"/>
      <c r="U2502" s="340"/>
      <c r="V2502" s="340"/>
      <c r="Z2502" s="340"/>
      <c r="AE2502" s="340"/>
      <c r="AI2502" s="340"/>
      <c r="AN2502" s="340"/>
      <c r="AO2502" s="340"/>
      <c r="AS2502" s="340"/>
      <c r="AX2502" s="340"/>
      <c r="BB2502" s="340"/>
      <c r="BD2502" s="339"/>
    </row>
    <row r="2503" spans="7:56" s="338" customFormat="1">
      <c r="G2503" s="340"/>
      <c r="L2503" s="340"/>
      <c r="P2503" s="340"/>
      <c r="U2503" s="340"/>
      <c r="V2503" s="340"/>
      <c r="Z2503" s="340"/>
      <c r="AE2503" s="340"/>
      <c r="AI2503" s="340"/>
      <c r="AN2503" s="340"/>
      <c r="AO2503" s="340"/>
      <c r="AS2503" s="340"/>
      <c r="AX2503" s="340"/>
      <c r="BB2503" s="340"/>
      <c r="BD2503" s="339"/>
    </row>
    <row r="2504" spans="7:56" s="338" customFormat="1">
      <c r="G2504" s="340"/>
      <c r="L2504" s="340"/>
      <c r="P2504" s="340"/>
      <c r="U2504" s="340"/>
      <c r="V2504" s="340"/>
      <c r="Z2504" s="340"/>
      <c r="AE2504" s="340"/>
      <c r="AI2504" s="340"/>
      <c r="AN2504" s="340"/>
      <c r="AO2504" s="340"/>
      <c r="AS2504" s="340"/>
      <c r="AX2504" s="340"/>
      <c r="BB2504" s="340"/>
      <c r="BD2504" s="339"/>
    </row>
    <row r="2505" spans="7:56" s="338" customFormat="1">
      <c r="G2505" s="340"/>
      <c r="L2505" s="340"/>
      <c r="P2505" s="340"/>
      <c r="U2505" s="340"/>
      <c r="V2505" s="340"/>
      <c r="Z2505" s="340"/>
      <c r="AE2505" s="340"/>
      <c r="AI2505" s="340"/>
      <c r="AN2505" s="340"/>
      <c r="AO2505" s="340"/>
      <c r="AS2505" s="340"/>
      <c r="AX2505" s="340"/>
      <c r="BB2505" s="340"/>
      <c r="BD2505" s="339"/>
    </row>
    <row r="2506" spans="7:56" s="338" customFormat="1">
      <c r="G2506" s="340"/>
      <c r="L2506" s="340"/>
      <c r="P2506" s="340"/>
      <c r="U2506" s="340"/>
      <c r="V2506" s="340"/>
      <c r="Z2506" s="340"/>
      <c r="AE2506" s="340"/>
      <c r="AI2506" s="340"/>
      <c r="AN2506" s="340"/>
      <c r="AO2506" s="340"/>
      <c r="AS2506" s="340"/>
      <c r="AX2506" s="340"/>
      <c r="BB2506" s="340"/>
      <c r="BD2506" s="339"/>
    </row>
    <row r="2507" spans="7:56" s="338" customFormat="1">
      <c r="G2507" s="340"/>
      <c r="L2507" s="340"/>
      <c r="P2507" s="340"/>
      <c r="U2507" s="340"/>
      <c r="V2507" s="340"/>
      <c r="Z2507" s="340"/>
      <c r="AE2507" s="340"/>
      <c r="AI2507" s="340"/>
      <c r="AN2507" s="340"/>
      <c r="AO2507" s="340"/>
      <c r="AS2507" s="340"/>
      <c r="AX2507" s="340"/>
      <c r="BB2507" s="340"/>
      <c r="BD2507" s="339"/>
    </row>
    <row r="2508" spans="7:56" s="338" customFormat="1">
      <c r="G2508" s="340"/>
      <c r="L2508" s="340"/>
      <c r="P2508" s="340"/>
      <c r="U2508" s="340"/>
      <c r="V2508" s="340"/>
      <c r="Z2508" s="340"/>
      <c r="AE2508" s="340"/>
      <c r="AI2508" s="340"/>
      <c r="AN2508" s="340"/>
      <c r="AO2508" s="340"/>
      <c r="AS2508" s="340"/>
      <c r="AX2508" s="340"/>
      <c r="BB2508" s="340"/>
      <c r="BD2508" s="339"/>
    </row>
    <row r="2509" spans="7:56" s="338" customFormat="1">
      <c r="G2509" s="340"/>
      <c r="L2509" s="340"/>
      <c r="P2509" s="340"/>
      <c r="U2509" s="340"/>
      <c r="V2509" s="340"/>
      <c r="Z2509" s="340"/>
      <c r="AE2509" s="340"/>
      <c r="AI2509" s="340"/>
      <c r="AN2509" s="340"/>
      <c r="AO2509" s="340"/>
      <c r="AS2509" s="340"/>
      <c r="AX2509" s="340"/>
      <c r="BB2509" s="340"/>
      <c r="BD2509" s="339"/>
    </row>
    <row r="2510" spans="7:56" s="338" customFormat="1">
      <c r="G2510" s="340"/>
      <c r="L2510" s="340"/>
      <c r="P2510" s="340"/>
      <c r="U2510" s="340"/>
      <c r="V2510" s="340"/>
      <c r="Z2510" s="340"/>
      <c r="AE2510" s="340"/>
      <c r="AI2510" s="340"/>
      <c r="AN2510" s="340"/>
      <c r="AO2510" s="340"/>
      <c r="AS2510" s="340"/>
      <c r="AX2510" s="340"/>
      <c r="BB2510" s="340"/>
      <c r="BD2510" s="339"/>
    </row>
    <row r="2511" spans="7:56" s="338" customFormat="1">
      <c r="G2511" s="340"/>
      <c r="L2511" s="340"/>
      <c r="P2511" s="340"/>
      <c r="U2511" s="340"/>
      <c r="V2511" s="340"/>
      <c r="Z2511" s="340"/>
      <c r="AE2511" s="340"/>
      <c r="AI2511" s="340"/>
      <c r="AN2511" s="340"/>
      <c r="AO2511" s="340"/>
      <c r="AS2511" s="340"/>
      <c r="AX2511" s="340"/>
      <c r="BB2511" s="340"/>
      <c r="BD2511" s="339"/>
    </row>
    <row r="2512" spans="7:56" s="338" customFormat="1">
      <c r="G2512" s="340"/>
      <c r="L2512" s="340"/>
      <c r="P2512" s="340"/>
      <c r="U2512" s="340"/>
      <c r="V2512" s="340"/>
      <c r="Z2512" s="340"/>
      <c r="AE2512" s="340"/>
      <c r="AI2512" s="340"/>
      <c r="AN2512" s="340"/>
      <c r="AO2512" s="340"/>
      <c r="AS2512" s="340"/>
      <c r="AX2512" s="340"/>
      <c r="BB2512" s="340"/>
      <c r="BD2512" s="339"/>
    </row>
    <row r="2513" spans="7:56" s="338" customFormat="1">
      <c r="G2513" s="340"/>
      <c r="L2513" s="340"/>
      <c r="P2513" s="340"/>
      <c r="U2513" s="340"/>
      <c r="V2513" s="340"/>
      <c r="Z2513" s="340"/>
      <c r="AE2513" s="340"/>
      <c r="AI2513" s="340"/>
      <c r="AN2513" s="340"/>
      <c r="AO2513" s="340"/>
      <c r="AS2513" s="340"/>
      <c r="AX2513" s="340"/>
      <c r="BB2513" s="340"/>
      <c r="BD2513" s="339"/>
    </row>
    <row r="2514" spans="7:56" s="338" customFormat="1">
      <c r="G2514" s="340"/>
      <c r="L2514" s="340"/>
      <c r="P2514" s="340"/>
      <c r="U2514" s="340"/>
      <c r="V2514" s="340"/>
      <c r="Z2514" s="340"/>
      <c r="AE2514" s="340"/>
      <c r="AI2514" s="340"/>
      <c r="AN2514" s="340"/>
      <c r="AO2514" s="340"/>
      <c r="AS2514" s="340"/>
      <c r="AX2514" s="340"/>
      <c r="BB2514" s="340"/>
      <c r="BD2514" s="339"/>
    </row>
    <row r="2515" spans="7:56" s="338" customFormat="1">
      <c r="G2515" s="340"/>
      <c r="L2515" s="340"/>
      <c r="P2515" s="340"/>
      <c r="U2515" s="340"/>
      <c r="V2515" s="340"/>
      <c r="Z2515" s="340"/>
      <c r="AE2515" s="340"/>
      <c r="AI2515" s="340"/>
      <c r="AN2515" s="340"/>
      <c r="AO2515" s="340"/>
      <c r="AS2515" s="340"/>
      <c r="AX2515" s="340"/>
      <c r="BB2515" s="340"/>
      <c r="BD2515" s="339"/>
    </row>
    <row r="2516" spans="7:56" s="338" customFormat="1">
      <c r="G2516" s="340"/>
      <c r="L2516" s="340"/>
      <c r="P2516" s="340"/>
      <c r="U2516" s="340"/>
      <c r="V2516" s="340"/>
      <c r="Z2516" s="340"/>
      <c r="AE2516" s="340"/>
      <c r="AI2516" s="340"/>
      <c r="AN2516" s="340"/>
      <c r="AO2516" s="340"/>
      <c r="AS2516" s="340"/>
      <c r="AX2516" s="340"/>
      <c r="BB2516" s="340"/>
      <c r="BD2516" s="339"/>
    </row>
    <row r="2517" spans="7:56" s="338" customFormat="1">
      <c r="G2517" s="340"/>
      <c r="L2517" s="340"/>
      <c r="P2517" s="340"/>
      <c r="U2517" s="340"/>
      <c r="V2517" s="340"/>
      <c r="Z2517" s="340"/>
      <c r="AE2517" s="340"/>
      <c r="AI2517" s="340"/>
      <c r="AN2517" s="340"/>
      <c r="AO2517" s="340"/>
      <c r="AS2517" s="340"/>
      <c r="AX2517" s="340"/>
      <c r="BB2517" s="340"/>
      <c r="BD2517" s="339"/>
    </row>
    <row r="2518" spans="7:56" s="338" customFormat="1">
      <c r="G2518" s="340"/>
      <c r="L2518" s="340"/>
      <c r="P2518" s="340"/>
      <c r="U2518" s="340"/>
      <c r="V2518" s="340"/>
      <c r="Z2518" s="340"/>
      <c r="AE2518" s="340"/>
      <c r="AI2518" s="340"/>
      <c r="AN2518" s="340"/>
      <c r="AO2518" s="340"/>
      <c r="AS2518" s="340"/>
      <c r="AX2518" s="340"/>
      <c r="BB2518" s="340"/>
      <c r="BD2518" s="339"/>
    </row>
    <row r="2519" spans="7:56" s="338" customFormat="1">
      <c r="G2519" s="340"/>
      <c r="L2519" s="340"/>
      <c r="P2519" s="340"/>
      <c r="U2519" s="340"/>
      <c r="V2519" s="340"/>
      <c r="Z2519" s="340"/>
      <c r="AE2519" s="340"/>
      <c r="AI2519" s="340"/>
      <c r="AN2519" s="340"/>
      <c r="AO2519" s="340"/>
      <c r="AS2519" s="340"/>
      <c r="AX2519" s="340"/>
      <c r="BB2519" s="340"/>
      <c r="BD2519" s="339"/>
    </row>
    <row r="2520" spans="7:56" s="338" customFormat="1">
      <c r="G2520" s="340"/>
      <c r="L2520" s="340"/>
      <c r="P2520" s="340"/>
      <c r="U2520" s="340"/>
      <c r="V2520" s="340"/>
      <c r="Z2520" s="340"/>
      <c r="AE2520" s="340"/>
      <c r="AI2520" s="340"/>
      <c r="AN2520" s="340"/>
      <c r="AO2520" s="340"/>
      <c r="AS2520" s="340"/>
      <c r="AX2520" s="340"/>
      <c r="BB2520" s="340"/>
      <c r="BD2520" s="339"/>
    </row>
    <row r="2521" spans="7:56" s="338" customFormat="1">
      <c r="G2521" s="340"/>
      <c r="L2521" s="340"/>
      <c r="P2521" s="340"/>
      <c r="U2521" s="340"/>
      <c r="V2521" s="340"/>
      <c r="Z2521" s="340"/>
      <c r="AE2521" s="340"/>
      <c r="AI2521" s="340"/>
      <c r="AN2521" s="340"/>
      <c r="AO2521" s="340"/>
      <c r="AS2521" s="340"/>
      <c r="AX2521" s="340"/>
      <c r="BB2521" s="340"/>
      <c r="BD2521" s="339"/>
    </row>
    <row r="2522" spans="7:56" s="338" customFormat="1">
      <c r="G2522" s="340"/>
      <c r="L2522" s="340"/>
      <c r="P2522" s="340"/>
      <c r="U2522" s="340"/>
      <c r="V2522" s="340"/>
      <c r="Z2522" s="340"/>
      <c r="AE2522" s="340"/>
      <c r="AI2522" s="340"/>
      <c r="AN2522" s="340"/>
      <c r="AO2522" s="340"/>
      <c r="AS2522" s="340"/>
      <c r="AX2522" s="340"/>
      <c r="BB2522" s="340"/>
      <c r="BD2522" s="339"/>
    </row>
    <row r="2523" spans="7:56" s="338" customFormat="1">
      <c r="G2523" s="340"/>
      <c r="L2523" s="340"/>
      <c r="P2523" s="340"/>
      <c r="U2523" s="340"/>
      <c r="V2523" s="340"/>
      <c r="Z2523" s="340"/>
      <c r="AE2523" s="340"/>
      <c r="AI2523" s="340"/>
      <c r="AN2523" s="340"/>
      <c r="AO2523" s="340"/>
      <c r="AS2523" s="340"/>
      <c r="AX2523" s="340"/>
      <c r="BB2523" s="340"/>
      <c r="BD2523" s="339"/>
    </row>
    <row r="2524" spans="7:56" s="338" customFormat="1">
      <c r="G2524" s="340"/>
      <c r="L2524" s="340"/>
      <c r="P2524" s="340"/>
      <c r="U2524" s="340"/>
      <c r="V2524" s="340"/>
      <c r="Z2524" s="340"/>
      <c r="AE2524" s="340"/>
      <c r="AI2524" s="340"/>
      <c r="AN2524" s="340"/>
      <c r="AO2524" s="340"/>
      <c r="AS2524" s="340"/>
      <c r="AX2524" s="340"/>
      <c r="BB2524" s="340"/>
      <c r="BD2524" s="339"/>
    </row>
    <row r="2525" spans="7:56" s="338" customFormat="1">
      <c r="G2525" s="340"/>
      <c r="L2525" s="340"/>
      <c r="P2525" s="340"/>
      <c r="U2525" s="340"/>
      <c r="V2525" s="340"/>
      <c r="Z2525" s="340"/>
      <c r="AE2525" s="340"/>
      <c r="AI2525" s="340"/>
      <c r="AN2525" s="340"/>
      <c r="AO2525" s="340"/>
      <c r="AS2525" s="340"/>
      <c r="AX2525" s="340"/>
      <c r="BB2525" s="340"/>
      <c r="BD2525" s="339"/>
    </row>
    <row r="2526" spans="7:56" s="338" customFormat="1">
      <c r="G2526" s="340"/>
      <c r="L2526" s="340"/>
      <c r="P2526" s="340"/>
      <c r="U2526" s="340"/>
      <c r="V2526" s="340"/>
      <c r="Z2526" s="340"/>
      <c r="AE2526" s="340"/>
      <c r="AI2526" s="340"/>
      <c r="AN2526" s="340"/>
      <c r="AO2526" s="340"/>
      <c r="AS2526" s="340"/>
      <c r="AX2526" s="340"/>
      <c r="BB2526" s="340"/>
      <c r="BD2526" s="339"/>
    </row>
    <row r="2527" spans="7:56" s="338" customFormat="1">
      <c r="G2527" s="340"/>
      <c r="L2527" s="340"/>
      <c r="P2527" s="340"/>
      <c r="U2527" s="340"/>
      <c r="V2527" s="340"/>
      <c r="Z2527" s="340"/>
      <c r="AE2527" s="340"/>
      <c r="AI2527" s="340"/>
      <c r="AN2527" s="340"/>
      <c r="AO2527" s="340"/>
      <c r="AS2527" s="340"/>
      <c r="AX2527" s="340"/>
      <c r="BB2527" s="340"/>
      <c r="BD2527" s="339"/>
    </row>
    <row r="2528" spans="7:56" s="338" customFormat="1">
      <c r="G2528" s="340"/>
      <c r="L2528" s="340"/>
      <c r="P2528" s="340"/>
      <c r="U2528" s="340"/>
      <c r="V2528" s="340"/>
      <c r="Z2528" s="340"/>
      <c r="AE2528" s="340"/>
      <c r="AI2528" s="340"/>
      <c r="AN2528" s="340"/>
      <c r="AO2528" s="340"/>
      <c r="AS2528" s="340"/>
      <c r="AX2528" s="340"/>
      <c r="BB2528" s="340"/>
      <c r="BD2528" s="339"/>
    </row>
    <row r="2529" spans="7:56" s="338" customFormat="1">
      <c r="G2529" s="340"/>
      <c r="L2529" s="340"/>
      <c r="P2529" s="340"/>
      <c r="U2529" s="340"/>
      <c r="V2529" s="340"/>
      <c r="Z2529" s="340"/>
      <c r="AE2529" s="340"/>
      <c r="AI2529" s="340"/>
      <c r="AN2529" s="340"/>
      <c r="AO2529" s="340"/>
      <c r="AS2529" s="340"/>
      <c r="AX2529" s="340"/>
      <c r="BB2529" s="340"/>
      <c r="BD2529" s="339"/>
    </row>
    <row r="2530" spans="7:56" s="338" customFormat="1">
      <c r="G2530" s="340"/>
      <c r="L2530" s="340"/>
      <c r="P2530" s="340"/>
      <c r="U2530" s="340"/>
      <c r="V2530" s="340"/>
      <c r="Z2530" s="340"/>
      <c r="AE2530" s="340"/>
      <c r="AI2530" s="340"/>
      <c r="AN2530" s="340"/>
      <c r="AO2530" s="340"/>
      <c r="AS2530" s="340"/>
      <c r="AX2530" s="340"/>
      <c r="BB2530" s="340"/>
      <c r="BD2530" s="339"/>
    </row>
    <row r="2531" spans="7:56" s="338" customFormat="1">
      <c r="G2531" s="340"/>
      <c r="L2531" s="340"/>
      <c r="P2531" s="340"/>
      <c r="U2531" s="340"/>
      <c r="V2531" s="340"/>
      <c r="Z2531" s="340"/>
      <c r="AE2531" s="340"/>
      <c r="AI2531" s="340"/>
      <c r="AN2531" s="340"/>
      <c r="AO2531" s="340"/>
      <c r="AS2531" s="340"/>
      <c r="AX2531" s="340"/>
      <c r="BB2531" s="340"/>
      <c r="BD2531" s="339"/>
    </row>
    <row r="2532" spans="7:56" s="338" customFormat="1">
      <c r="G2532" s="340"/>
      <c r="L2532" s="340"/>
      <c r="P2532" s="340"/>
      <c r="U2532" s="340"/>
      <c r="V2532" s="340"/>
      <c r="Z2532" s="340"/>
      <c r="AE2532" s="340"/>
      <c r="AI2532" s="340"/>
      <c r="AN2532" s="340"/>
      <c r="AO2532" s="340"/>
      <c r="AS2532" s="340"/>
      <c r="AX2532" s="340"/>
      <c r="BB2532" s="340"/>
      <c r="BD2532" s="339"/>
    </row>
    <row r="2533" spans="7:56" s="338" customFormat="1">
      <c r="G2533" s="340"/>
      <c r="L2533" s="340"/>
      <c r="P2533" s="340"/>
      <c r="U2533" s="340"/>
      <c r="V2533" s="340"/>
      <c r="Z2533" s="340"/>
      <c r="AE2533" s="340"/>
      <c r="AI2533" s="340"/>
      <c r="AN2533" s="340"/>
      <c r="AO2533" s="340"/>
      <c r="AS2533" s="340"/>
      <c r="AX2533" s="340"/>
      <c r="BB2533" s="340"/>
      <c r="BD2533" s="339"/>
    </row>
    <row r="2534" spans="7:56" s="338" customFormat="1">
      <c r="G2534" s="340"/>
      <c r="L2534" s="340"/>
      <c r="P2534" s="340"/>
      <c r="U2534" s="340"/>
      <c r="V2534" s="340"/>
      <c r="Z2534" s="340"/>
      <c r="AE2534" s="340"/>
      <c r="AI2534" s="340"/>
      <c r="AN2534" s="340"/>
      <c r="AO2534" s="340"/>
      <c r="AS2534" s="340"/>
      <c r="AX2534" s="340"/>
      <c r="BB2534" s="340"/>
      <c r="BD2534" s="339"/>
    </row>
    <row r="2535" spans="7:56" s="338" customFormat="1">
      <c r="G2535" s="340"/>
      <c r="L2535" s="340"/>
      <c r="P2535" s="340"/>
      <c r="U2535" s="340"/>
      <c r="V2535" s="340"/>
      <c r="Z2535" s="340"/>
      <c r="AE2535" s="340"/>
      <c r="AI2535" s="340"/>
      <c r="AN2535" s="340"/>
      <c r="AO2535" s="340"/>
      <c r="AS2535" s="340"/>
      <c r="AX2535" s="340"/>
      <c r="BB2535" s="340"/>
      <c r="BD2535" s="339"/>
    </row>
    <row r="2536" spans="7:56" s="338" customFormat="1">
      <c r="G2536" s="340"/>
      <c r="L2536" s="340"/>
      <c r="P2536" s="340"/>
      <c r="U2536" s="340"/>
      <c r="V2536" s="340"/>
      <c r="Z2536" s="340"/>
      <c r="AE2536" s="340"/>
      <c r="AI2536" s="340"/>
      <c r="AN2536" s="340"/>
      <c r="AO2536" s="340"/>
      <c r="AS2536" s="340"/>
      <c r="AX2536" s="340"/>
      <c r="BB2536" s="340"/>
      <c r="BD2536" s="339"/>
    </row>
    <row r="2537" spans="7:56" s="338" customFormat="1">
      <c r="G2537" s="340"/>
      <c r="L2537" s="340"/>
      <c r="P2537" s="340"/>
      <c r="U2537" s="340"/>
      <c r="V2537" s="340"/>
      <c r="Z2537" s="340"/>
      <c r="AE2537" s="340"/>
      <c r="AI2537" s="340"/>
      <c r="AN2537" s="340"/>
      <c r="AO2537" s="340"/>
      <c r="AS2537" s="340"/>
      <c r="AX2537" s="340"/>
      <c r="BB2537" s="340"/>
      <c r="BD2537" s="339"/>
    </row>
    <row r="2538" spans="7:56" s="338" customFormat="1">
      <c r="G2538" s="340"/>
      <c r="L2538" s="340"/>
      <c r="P2538" s="340"/>
      <c r="U2538" s="340"/>
      <c r="V2538" s="340"/>
      <c r="Z2538" s="340"/>
      <c r="AE2538" s="340"/>
      <c r="AI2538" s="340"/>
      <c r="AN2538" s="340"/>
      <c r="AO2538" s="340"/>
      <c r="AS2538" s="340"/>
      <c r="AX2538" s="340"/>
      <c r="BB2538" s="340"/>
      <c r="BD2538" s="339"/>
    </row>
    <row r="2539" spans="7:56" s="338" customFormat="1">
      <c r="G2539" s="340"/>
      <c r="L2539" s="340"/>
      <c r="P2539" s="340"/>
      <c r="U2539" s="340"/>
      <c r="V2539" s="340"/>
      <c r="Z2539" s="340"/>
      <c r="AE2539" s="340"/>
      <c r="AI2539" s="340"/>
      <c r="AN2539" s="340"/>
      <c r="AO2539" s="340"/>
      <c r="AS2539" s="340"/>
      <c r="AX2539" s="340"/>
      <c r="BB2539" s="340"/>
      <c r="BD2539" s="339"/>
    </row>
    <row r="2540" spans="7:56" s="338" customFormat="1">
      <c r="G2540" s="340"/>
      <c r="L2540" s="340"/>
      <c r="P2540" s="340"/>
      <c r="U2540" s="340"/>
      <c r="V2540" s="340"/>
      <c r="Z2540" s="340"/>
      <c r="AE2540" s="340"/>
      <c r="AI2540" s="340"/>
      <c r="AN2540" s="340"/>
      <c r="AO2540" s="340"/>
      <c r="AS2540" s="340"/>
      <c r="AX2540" s="340"/>
      <c r="BB2540" s="340"/>
      <c r="BD2540" s="339"/>
    </row>
    <row r="2541" spans="7:56" s="338" customFormat="1">
      <c r="G2541" s="340"/>
      <c r="L2541" s="340"/>
      <c r="P2541" s="340"/>
      <c r="U2541" s="340"/>
      <c r="V2541" s="340"/>
      <c r="Z2541" s="340"/>
      <c r="AE2541" s="340"/>
      <c r="AI2541" s="340"/>
      <c r="AN2541" s="340"/>
      <c r="AO2541" s="340"/>
      <c r="AS2541" s="340"/>
      <c r="AX2541" s="340"/>
      <c r="BB2541" s="340"/>
      <c r="BD2541" s="339"/>
    </row>
    <row r="2542" spans="7:56" s="338" customFormat="1">
      <c r="G2542" s="340"/>
      <c r="L2542" s="340"/>
      <c r="P2542" s="340"/>
      <c r="U2542" s="340"/>
      <c r="V2542" s="340"/>
      <c r="Z2542" s="340"/>
      <c r="AE2542" s="340"/>
      <c r="AI2542" s="340"/>
      <c r="AN2542" s="340"/>
      <c r="AO2542" s="340"/>
      <c r="AS2542" s="340"/>
      <c r="AX2542" s="340"/>
      <c r="BB2542" s="340"/>
      <c r="BD2542" s="339"/>
    </row>
    <row r="2543" spans="7:56" s="338" customFormat="1">
      <c r="G2543" s="340"/>
      <c r="L2543" s="340"/>
      <c r="P2543" s="340"/>
      <c r="U2543" s="340"/>
      <c r="V2543" s="340"/>
      <c r="Z2543" s="340"/>
      <c r="AE2543" s="340"/>
      <c r="AI2543" s="340"/>
      <c r="AN2543" s="340"/>
      <c r="AO2543" s="340"/>
      <c r="AS2543" s="340"/>
      <c r="AX2543" s="340"/>
      <c r="BB2543" s="340"/>
      <c r="BD2543" s="339"/>
    </row>
    <row r="2544" spans="7:56" s="338" customFormat="1">
      <c r="G2544" s="340"/>
      <c r="L2544" s="340"/>
      <c r="P2544" s="340"/>
      <c r="U2544" s="340"/>
      <c r="V2544" s="340"/>
      <c r="Z2544" s="340"/>
      <c r="AE2544" s="340"/>
      <c r="AI2544" s="340"/>
      <c r="AN2544" s="340"/>
      <c r="AO2544" s="340"/>
      <c r="AS2544" s="340"/>
      <c r="AX2544" s="340"/>
      <c r="BB2544" s="340"/>
      <c r="BD2544" s="339"/>
    </row>
    <row r="2545" spans="7:56" s="338" customFormat="1">
      <c r="G2545" s="340"/>
      <c r="L2545" s="340"/>
      <c r="P2545" s="340"/>
      <c r="U2545" s="340"/>
      <c r="V2545" s="340"/>
      <c r="Z2545" s="340"/>
      <c r="AE2545" s="340"/>
      <c r="AI2545" s="340"/>
      <c r="AN2545" s="340"/>
      <c r="AO2545" s="340"/>
      <c r="AS2545" s="340"/>
      <c r="AX2545" s="340"/>
      <c r="BB2545" s="340"/>
      <c r="BD2545" s="339"/>
    </row>
    <row r="2546" spans="7:56" s="338" customFormat="1">
      <c r="G2546" s="340"/>
      <c r="L2546" s="340"/>
      <c r="P2546" s="340"/>
      <c r="U2546" s="340"/>
      <c r="V2546" s="340"/>
      <c r="Z2546" s="340"/>
      <c r="AE2546" s="340"/>
      <c r="AI2546" s="340"/>
      <c r="AN2546" s="340"/>
      <c r="AO2546" s="340"/>
      <c r="AS2546" s="340"/>
      <c r="AX2546" s="340"/>
      <c r="BB2546" s="340"/>
      <c r="BD2546" s="339"/>
    </row>
    <row r="2547" spans="7:56" s="338" customFormat="1">
      <c r="G2547" s="340"/>
      <c r="L2547" s="340"/>
      <c r="P2547" s="340"/>
      <c r="U2547" s="340"/>
      <c r="V2547" s="340"/>
      <c r="Z2547" s="340"/>
      <c r="AE2547" s="340"/>
      <c r="AI2547" s="340"/>
      <c r="AN2547" s="340"/>
      <c r="AO2547" s="340"/>
      <c r="AS2547" s="340"/>
      <c r="AX2547" s="340"/>
      <c r="BB2547" s="340"/>
      <c r="BD2547" s="339"/>
    </row>
    <row r="2548" spans="7:56" s="338" customFormat="1">
      <c r="G2548" s="340"/>
      <c r="L2548" s="340"/>
      <c r="P2548" s="340"/>
      <c r="U2548" s="340"/>
      <c r="V2548" s="340"/>
      <c r="Z2548" s="340"/>
      <c r="AE2548" s="340"/>
      <c r="AI2548" s="340"/>
      <c r="AN2548" s="340"/>
      <c r="AO2548" s="340"/>
      <c r="AS2548" s="340"/>
      <c r="AX2548" s="340"/>
      <c r="BB2548" s="340"/>
      <c r="BD2548" s="339"/>
    </row>
    <row r="2549" spans="7:56" s="338" customFormat="1">
      <c r="G2549" s="340"/>
      <c r="L2549" s="340"/>
      <c r="P2549" s="340"/>
      <c r="U2549" s="340"/>
      <c r="V2549" s="340"/>
      <c r="Z2549" s="340"/>
      <c r="AE2549" s="340"/>
      <c r="AI2549" s="340"/>
      <c r="AN2549" s="340"/>
      <c r="AO2549" s="340"/>
      <c r="AS2549" s="340"/>
      <c r="AX2549" s="340"/>
      <c r="BB2549" s="340"/>
      <c r="BD2549" s="339"/>
    </row>
    <row r="2550" spans="7:56" s="338" customFormat="1">
      <c r="G2550" s="340"/>
      <c r="L2550" s="340"/>
      <c r="P2550" s="340"/>
      <c r="U2550" s="340"/>
      <c r="V2550" s="340"/>
      <c r="Z2550" s="340"/>
      <c r="AE2550" s="340"/>
      <c r="AI2550" s="340"/>
      <c r="AN2550" s="340"/>
      <c r="AO2550" s="340"/>
      <c r="AS2550" s="340"/>
      <c r="AX2550" s="340"/>
      <c r="BB2550" s="340"/>
      <c r="BD2550" s="339"/>
    </row>
    <row r="2551" spans="7:56" s="338" customFormat="1">
      <c r="G2551" s="340"/>
      <c r="L2551" s="340"/>
      <c r="P2551" s="340"/>
      <c r="U2551" s="340"/>
      <c r="V2551" s="340"/>
      <c r="Z2551" s="340"/>
      <c r="AE2551" s="340"/>
      <c r="AI2551" s="340"/>
      <c r="AN2551" s="340"/>
      <c r="AO2551" s="340"/>
      <c r="AS2551" s="340"/>
      <c r="AX2551" s="340"/>
      <c r="BB2551" s="340"/>
      <c r="BD2551" s="339"/>
    </row>
    <row r="2552" spans="7:56" s="338" customFormat="1">
      <c r="G2552" s="340"/>
      <c r="L2552" s="340"/>
      <c r="P2552" s="340"/>
      <c r="U2552" s="340"/>
      <c r="V2552" s="340"/>
      <c r="Z2552" s="340"/>
      <c r="AE2552" s="340"/>
      <c r="AI2552" s="340"/>
      <c r="AN2552" s="340"/>
      <c r="AO2552" s="340"/>
      <c r="AS2552" s="340"/>
      <c r="AX2552" s="340"/>
      <c r="BB2552" s="340"/>
      <c r="BD2552" s="339"/>
    </row>
    <row r="2553" spans="7:56" s="338" customFormat="1">
      <c r="G2553" s="340"/>
      <c r="L2553" s="340"/>
      <c r="P2553" s="340"/>
      <c r="U2553" s="340"/>
      <c r="V2553" s="340"/>
      <c r="Z2553" s="340"/>
      <c r="AE2553" s="340"/>
      <c r="AI2553" s="340"/>
      <c r="AN2553" s="340"/>
      <c r="AO2553" s="340"/>
      <c r="AS2553" s="340"/>
      <c r="AX2553" s="340"/>
      <c r="BB2553" s="340"/>
      <c r="BD2553" s="339"/>
    </row>
    <row r="2554" spans="7:56" s="338" customFormat="1">
      <c r="G2554" s="340"/>
      <c r="L2554" s="340"/>
      <c r="P2554" s="340"/>
      <c r="U2554" s="340"/>
      <c r="V2554" s="340"/>
      <c r="Z2554" s="340"/>
      <c r="AE2554" s="340"/>
      <c r="AI2554" s="340"/>
      <c r="AN2554" s="340"/>
      <c r="AO2554" s="340"/>
      <c r="AS2554" s="340"/>
      <c r="AX2554" s="340"/>
      <c r="BB2554" s="340"/>
      <c r="BD2554" s="339"/>
    </row>
    <row r="2555" spans="7:56" s="338" customFormat="1">
      <c r="G2555" s="340"/>
      <c r="L2555" s="340"/>
      <c r="P2555" s="340"/>
      <c r="U2555" s="340"/>
      <c r="V2555" s="340"/>
      <c r="Z2555" s="340"/>
      <c r="AE2555" s="340"/>
      <c r="AI2555" s="340"/>
      <c r="AN2555" s="340"/>
      <c r="AO2555" s="340"/>
      <c r="AS2555" s="340"/>
      <c r="AX2555" s="340"/>
      <c r="BB2555" s="340"/>
      <c r="BD2555" s="339"/>
    </row>
    <row r="2556" spans="7:56" s="338" customFormat="1">
      <c r="G2556" s="340"/>
      <c r="L2556" s="340"/>
      <c r="P2556" s="340"/>
      <c r="U2556" s="340"/>
      <c r="V2556" s="340"/>
      <c r="Z2556" s="340"/>
      <c r="AE2556" s="340"/>
      <c r="AI2556" s="340"/>
      <c r="AN2556" s="340"/>
      <c r="AO2556" s="340"/>
      <c r="AS2556" s="340"/>
      <c r="AX2556" s="340"/>
      <c r="BB2556" s="340"/>
      <c r="BD2556" s="339"/>
    </row>
    <row r="2557" spans="7:56" s="338" customFormat="1">
      <c r="G2557" s="340"/>
      <c r="L2557" s="340"/>
      <c r="P2557" s="340"/>
      <c r="U2557" s="340"/>
      <c r="V2557" s="340"/>
      <c r="Z2557" s="340"/>
      <c r="AE2557" s="340"/>
      <c r="AI2557" s="340"/>
      <c r="AN2557" s="340"/>
      <c r="AO2557" s="340"/>
      <c r="AS2557" s="340"/>
      <c r="AX2557" s="340"/>
      <c r="BB2557" s="340"/>
      <c r="BD2557" s="339"/>
    </row>
    <row r="2558" spans="7:56" s="338" customFormat="1">
      <c r="G2558" s="340"/>
      <c r="L2558" s="340"/>
      <c r="P2558" s="340"/>
      <c r="U2558" s="340"/>
      <c r="V2558" s="340"/>
      <c r="Z2558" s="340"/>
      <c r="AE2558" s="340"/>
      <c r="AI2558" s="340"/>
      <c r="AN2558" s="340"/>
      <c r="AO2558" s="340"/>
      <c r="AS2558" s="340"/>
      <c r="AX2558" s="340"/>
      <c r="BB2558" s="340"/>
      <c r="BD2558" s="339"/>
    </row>
    <row r="2559" spans="7:56" s="338" customFormat="1">
      <c r="G2559" s="340"/>
      <c r="L2559" s="340"/>
      <c r="P2559" s="340"/>
      <c r="U2559" s="340"/>
      <c r="V2559" s="340"/>
      <c r="Z2559" s="340"/>
      <c r="AE2559" s="340"/>
      <c r="AI2559" s="340"/>
      <c r="AN2559" s="340"/>
      <c r="AO2559" s="340"/>
      <c r="AS2559" s="340"/>
      <c r="AX2559" s="340"/>
      <c r="BB2559" s="340"/>
      <c r="BD2559" s="339"/>
    </row>
    <row r="2560" spans="7:56" s="338" customFormat="1">
      <c r="G2560" s="340"/>
      <c r="L2560" s="340"/>
      <c r="P2560" s="340"/>
      <c r="U2560" s="340"/>
      <c r="V2560" s="340"/>
      <c r="Z2560" s="340"/>
      <c r="AE2560" s="340"/>
      <c r="AI2560" s="340"/>
      <c r="AN2560" s="340"/>
      <c r="AO2560" s="340"/>
      <c r="AS2560" s="340"/>
      <c r="AX2560" s="340"/>
      <c r="BB2560" s="340"/>
      <c r="BD2560" s="339"/>
    </row>
    <row r="2561" spans="7:56" s="338" customFormat="1">
      <c r="G2561" s="340"/>
      <c r="L2561" s="340"/>
      <c r="P2561" s="340"/>
      <c r="U2561" s="340"/>
      <c r="V2561" s="340"/>
      <c r="Z2561" s="340"/>
      <c r="AE2561" s="340"/>
      <c r="AI2561" s="340"/>
      <c r="AN2561" s="340"/>
      <c r="AO2561" s="340"/>
      <c r="AS2561" s="340"/>
      <c r="AX2561" s="340"/>
      <c r="BB2561" s="340"/>
      <c r="BD2561" s="339"/>
    </row>
    <row r="2562" spans="7:56" s="338" customFormat="1">
      <c r="G2562" s="340"/>
      <c r="L2562" s="340"/>
      <c r="P2562" s="340"/>
      <c r="U2562" s="340"/>
      <c r="V2562" s="340"/>
      <c r="Z2562" s="340"/>
      <c r="AE2562" s="340"/>
      <c r="AI2562" s="340"/>
      <c r="AN2562" s="340"/>
      <c r="AO2562" s="340"/>
      <c r="AS2562" s="340"/>
      <c r="AX2562" s="340"/>
      <c r="BB2562" s="340"/>
      <c r="BD2562" s="339"/>
    </row>
    <row r="2563" spans="7:56" s="338" customFormat="1">
      <c r="G2563" s="340"/>
      <c r="L2563" s="340"/>
      <c r="P2563" s="340"/>
      <c r="U2563" s="340"/>
      <c r="V2563" s="340"/>
      <c r="Z2563" s="340"/>
      <c r="AE2563" s="340"/>
      <c r="AI2563" s="340"/>
      <c r="AN2563" s="340"/>
      <c r="AO2563" s="340"/>
      <c r="AS2563" s="340"/>
      <c r="AX2563" s="340"/>
      <c r="BB2563" s="340"/>
      <c r="BD2563" s="339"/>
    </row>
    <row r="2564" spans="7:56" s="338" customFormat="1">
      <c r="G2564" s="340"/>
      <c r="L2564" s="340"/>
      <c r="P2564" s="340"/>
      <c r="U2564" s="340"/>
      <c r="V2564" s="340"/>
      <c r="Z2564" s="340"/>
      <c r="AE2564" s="340"/>
      <c r="AI2564" s="340"/>
      <c r="AN2564" s="340"/>
      <c r="AO2564" s="340"/>
      <c r="AS2564" s="340"/>
      <c r="AX2564" s="340"/>
      <c r="BB2564" s="340"/>
      <c r="BD2564" s="339"/>
    </row>
    <row r="2565" spans="7:56" s="338" customFormat="1">
      <c r="G2565" s="340"/>
      <c r="L2565" s="340"/>
      <c r="P2565" s="340"/>
      <c r="U2565" s="340"/>
      <c r="V2565" s="340"/>
      <c r="Z2565" s="340"/>
      <c r="AE2565" s="340"/>
      <c r="AI2565" s="340"/>
      <c r="AN2565" s="340"/>
      <c r="AO2565" s="340"/>
      <c r="AS2565" s="340"/>
      <c r="AX2565" s="340"/>
      <c r="BB2565" s="340"/>
      <c r="BD2565" s="339"/>
    </row>
    <row r="2566" spans="7:56" s="338" customFormat="1">
      <c r="G2566" s="340"/>
      <c r="L2566" s="340"/>
      <c r="P2566" s="340"/>
      <c r="U2566" s="340"/>
      <c r="V2566" s="340"/>
      <c r="Z2566" s="340"/>
      <c r="AE2566" s="340"/>
      <c r="AI2566" s="340"/>
      <c r="AN2566" s="340"/>
      <c r="AO2566" s="340"/>
      <c r="AS2566" s="340"/>
      <c r="AX2566" s="340"/>
      <c r="BB2566" s="340"/>
      <c r="BD2566" s="339"/>
    </row>
    <row r="2567" spans="7:56" s="338" customFormat="1">
      <c r="G2567" s="340"/>
      <c r="L2567" s="340"/>
      <c r="P2567" s="340"/>
      <c r="U2567" s="340"/>
      <c r="V2567" s="340"/>
      <c r="Z2567" s="340"/>
      <c r="AE2567" s="340"/>
      <c r="AI2567" s="340"/>
      <c r="AN2567" s="340"/>
      <c r="AO2567" s="340"/>
      <c r="AS2567" s="340"/>
      <c r="AX2567" s="340"/>
      <c r="BB2567" s="340"/>
      <c r="BD2567" s="339"/>
    </row>
    <row r="2568" spans="7:56" s="338" customFormat="1">
      <c r="G2568" s="340"/>
      <c r="L2568" s="340"/>
      <c r="P2568" s="340"/>
      <c r="U2568" s="340"/>
      <c r="V2568" s="340"/>
      <c r="Z2568" s="340"/>
      <c r="AE2568" s="340"/>
      <c r="AI2568" s="340"/>
      <c r="AN2568" s="340"/>
      <c r="AO2568" s="340"/>
      <c r="AS2568" s="340"/>
      <c r="AX2568" s="340"/>
      <c r="BB2568" s="340"/>
      <c r="BD2568" s="339"/>
    </row>
    <row r="2569" spans="7:56" s="338" customFormat="1">
      <c r="G2569" s="340"/>
      <c r="L2569" s="340"/>
      <c r="P2569" s="340"/>
      <c r="U2569" s="340"/>
      <c r="V2569" s="340"/>
      <c r="Z2569" s="340"/>
      <c r="AE2569" s="340"/>
      <c r="AI2569" s="340"/>
      <c r="AN2569" s="340"/>
      <c r="AO2569" s="340"/>
      <c r="AS2569" s="340"/>
      <c r="AX2569" s="340"/>
      <c r="BB2569" s="340"/>
      <c r="BD2569" s="339"/>
    </row>
    <row r="2570" spans="7:56" s="338" customFormat="1">
      <c r="G2570" s="340"/>
      <c r="L2570" s="340"/>
      <c r="P2570" s="340"/>
      <c r="U2570" s="340"/>
      <c r="V2570" s="340"/>
      <c r="Z2570" s="340"/>
      <c r="AE2570" s="340"/>
      <c r="AI2570" s="340"/>
      <c r="AN2570" s="340"/>
      <c r="AO2570" s="340"/>
      <c r="AS2570" s="340"/>
      <c r="AX2570" s="340"/>
      <c r="BB2570" s="340"/>
      <c r="BD2570" s="339"/>
    </row>
    <row r="2571" spans="7:56" s="338" customFormat="1">
      <c r="G2571" s="340"/>
      <c r="L2571" s="340"/>
      <c r="P2571" s="340"/>
      <c r="U2571" s="340"/>
      <c r="V2571" s="340"/>
      <c r="Z2571" s="340"/>
      <c r="AE2571" s="340"/>
      <c r="AI2571" s="340"/>
      <c r="AN2571" s="340"/>
      <c r="AO2571" s="340"/>
      <c r="AS2571" s="340"/>
      <c r="AX2571" s="340"/>
      <c r="BB2571" s="340"/>
      <c r="BD2571" s="339"/>
    </row>
    <row r="2572" spans="7:56" s="338" customFormat="1">
      <c r="G2572" s="340"/>
      <c r="L2572" s="340"/>
      <c r="P2572" s="340"/>
      <c r="U2572" s="340"/>
      <c r="V2572" s="340"/>
      <c r="Z2572" s="340"/>
      <c r="AE2572" s="340"/>
      <c r="AI2572" s="340"/>
      <c r="AN2572" s="340"/>
      <c r="AO2572" s="340"/>
      <c r="AS2572" s="340"/>
      <c r="AX2572" s="340"/>
      <c r="BB2572" s="340"/>
      <c r="BD2572" s="339"/>
    </row>
    <row r="2573" spans="7:56" s="338" customFormat="1">
      <c r="G2573" s="340"/>
      <c r="L2573" s="340"/>
      <c r="P2573" s="340"/>
      <c r="U2573" s="340"/>
      <c r="V2573" s="340"/>
      <c r="Z2573" s="340"/>
      <c r="AE2573" s="340"/>
      <c r="AI2573" s="340"/>
      <c r="AN2573" s="340"/>
      <c r="AO2573" s="340"/>
      <c r="AS2573" s="340"/>
      <c r="AX2573" s="340"/>
      <c r="BB2573" s="340"/>
      <c r="BD2573" s="339"/>
    </row>
    <row r="2574" spans="7:56" s="338" customFormat="1">
      <c r="G2574" s="340"/>
      <c r="L2574" s="340"/>
      <c r="P2574" s="340"/>
      <c r="U2574" s="340"/>
      <c r="V2574" s="340"/>
      <c r="Z2574" s="340"/>
      <c r="AE2574" s="340"/>
      <c r="AI2574" s="340"/>
      <c r="AN2574" s="340"/>
      <c r="AO2574" s="340"/>
      <c r="AS2574" s="340"/>
      <c r="AX2574" s="340"/>
      <c r="BB2574" s="340"/>
      <c r="BD2574" s="339"/>
    </row>
    <row r="2575" spans="7:56" s="338" customFormat="1">
      <c r="G2575" s="340"/>
      <c r="L2575" s="340"/>
      <c r="P2575" s="340"/>
      <c r="U2575" s="340"/>
      <c r="V2575" s="340"/>
      <c r="Z2575" s="340"/>
      <c r="AE2575" s="340"/>
      <c r="AI2575" s="340"/>
      <c r="AN2575" s="340"/>
      <c r="AO2575" s="340"/>
      <c r="AS2575" s="340"/>
      <c r="AX2575" s="340"/>
      <c r="BB2575" s="340"/>
      <c r="BD2575" s="339"/>
    </row>
    <row r="2576" spans="7:56" s="338" customFormat="1">
      <c r="G2576" s="340"/>
      <c r="L2576" s="340"/>
      <c r="P2576" s="340"/>
      <c r="U2576" s="340"/>
      <c r="V2576" s="340"/>
      <c r="Z2576" s="340"/>
      <c r="AE2576" s="340"/>
      <c r="AI2576" s="340"/>
      <c r="AN2576" s="340"/>
      <c r="AO2576" s="340"/>
      <c r="AS2576" s="340"/>
      <c r="AX2576" s="340"/>
      <c r="BB2576" s="340"/>
      <c r="BD2576" s="339"/>
    </row>
    <row r="2577" spans="7:56" s="338" customFormat="1">
      <c r="G2577" s="340"/>
      <c r="L2577" s="340"/>
      <c r="P2577" s="340"/>
      <c r="U2577" s="340"/>
      <c r="V2577" s="340"/>
      <c r="Z2577" s="340"/>
      <c r="AE2577" s="340"/>
      <c r="AI2577" s="340"/>
      <c r="AN2577" s="340"/>
      <c r="AO2577" s="340"/>
      <c r="AS2577" s="340"/>
      <c r="AX2577" s="340"/>
      <c r="BB2577" s="340"/>
      <c r="BD2577" s="339"/>
    </row>
    <row r="2578" spans="7:56" s="338" customFormat="1">
      <c r="G2578" s="340"/>
      <c r="L2578" s="340"/>
      <c r="P2578" s="340"/>
      <c r="U2578" s="340"/>
      <c r="V2578" s="340"/>
      <c r="Z2578" s="340"/>
      <c r="AE2578" s="340"/>
      <c r="AI2578" s="340"/>
      <c r="AN2578" s="340"/>
      <c r="AO2578" s="340"/>
      <c r="AS2578" s="340"/>
      <c r="AX2578" s="340"/>
      <c r="BB2578" s="340"/>
      <c r="BD2578" s="339"/>
    </row>
    <row r="2579" spans="7:56" s="338" customFormat="1">
      <c r="G2579" s="340"/>
      <c r="L2579" s="340"/>
      <c r="P2579" s="340"/>
      <c r="U2579" s="340"/>
      <c r="V2579" s="340"/>
      <c r="Z2579" s="340"/>
      <c r="AE2579" s="340"/>
      <c r="AI2579" s="340"/>
      <c r="AN2579" s="340"/>
      <c r="AO2579" s="340"/>
      <c r="AS2579" s="340"/>
      <c r="AX2579" s="340"/>
      <c r="BB2579" s="340"/>
      <c r="BD2579" s="339"/>
    </row>
    <row r="2580" spans="7:56" s="338" customFormat="1">
      <c r="G2580" s="340"/>
      <c r="L2580" s="340"/>
      <c r="P2580" s="340"/>
      <c r="U2580" s="340"/>
      <c r="V2580" s="340"/>
      <c r="Z2580" s="340"/>
      <c r="AE2580" s="340"/>
      <c r="AI2580" s="340"/>
      <c r="AN2580" s="340"/>
      <c r="AO2580" s="340"/>
      <c r="AS2580" s="340"/>
      <c r="AX2580" s="340"/>
      <c r="BB2580" s="340"/>
      <c r="BD2580" s="339"/>
    </row>
    <row r="2581" spans="7:56" s="338" customFormat="1">
      <c r="G2581" s="340"/>
      <c r="L2581" s="340"/>
      <c r="P2581" s="340"/>
      <c r="U2581" s="340"/>
      <c r="V2581" s="340"/>
      <c r="Z2581" s="340"/>
      <c r="AE2581" s="340"/>
      <c r="AI2581" s="340"/>
      <c r="AN2581" s="340"/>
      <c r="AO2581" s="340"/>
      <c r="AS2581" s="340"/>
      <c r="AX2581" s="340"/>
      <c r="BB2581" s="340"/>
      <c r="BD2581" s="339"/>
    </row>
    <row r="2582" spans="7:56" s="338" customFormat="1">
      <c r="G2582" s="340"/>
      <c r="L2582" s="340"/>
      <c r="P2582" s="340"/>
      <c r="U2582" s="340"/>
      <c r="V2582" s="340"/>
      <c r="Z2582" s="340"/>
      <c r="AE2582" s="340"/>
      <c r="AI2582" s="340"/>
      <c r="AN2582" s="340"/>
      <c r="AO2582" s="340"/>
      <c r="AS2582" s="340"/>
      <c r="AX2582" s="340"/>
      <c r="BB2582" s="340"/>
      <c r="BD2582" s="339"/>
    </row>
    <row r="2583" spans="7:56" s="338" customFormat="1">
      <c r="G2583" s="340"/>
      <c r="L2583" s="340"/>
      <c r="P2583" s="340"/>
      <c r="U2583" s="340"/>
      <c r="V2583" s="340"/>
      <c r="Z2583" s="340"/>
      <c r="AE2583" s="340"/>
      <c r="AI2583" s="340"/>
      <c r="AN2583" s="340"/>
      <c r="AO2583" s="340"/>
      <c r="AS2583" s="340"/>
      <c r="AX2583" s="340"/>
      <c r="BB2583" s="340"/>
      <c r="BD2583" s="339"/>
    </row>
    <row r="2584" spans="7:56" s="338" customFormat="1">
      <c r="G2584" s="340"/>
      <c r="L2584" s="340"/>
      <c r="P2584" s="340"/>
      <c r="U2584" s="340"/>
      <c r="V2584" s="340"/>
      <c r="Z2584" s="340"/>
      <c r="AE2584" s="340"/>
      <c r="AI2584" s="340"/>
      <c r="AN2584" s="340"/>
      <c r="AO2584" s="340"/>
      <c r="AS2584" s="340"/>
      <c r="AX2584" s="340"/>
      <c r="BB2584" s="340"/>
      <c r="BD2584" s="339"/>
    </row>
    <row r="2585" spans="7:56" s="338" customFormat="1">
      <c r="G2585" s="340"/>
      <c r="L2585" s="340"/>
      <c r="P2585" s="340"/>
      <c r="U2585" s="340"/>
      <c r="V2585" s="340"/>
      <c r="Z2585" s="340"/>
      <c r="AE2585" s="340"/>
      <c r="AI2585" s="340"/>
      <c r="AN2585" s="340"/>
      <c r="AO2585" s="340"/>
      <c r="AS2585" s="340"/>
      <c r="AX2585" s="340"/>
      <c r="BB2585" s="340"/>
      <c r="BD2585" s="339"/>
    </row>
    <row r="2586" spans="7:56" s="338" customFormat="1">
      <c r="G2586" s="340"/>
      <c r="L2586" s="340"/>
      <c r="P2586" s="340"/>
      <c r="U2586" s="340"/>
      <c r="V2586" s="340"/>
      <c r="Z2586" s="340"/>
      <c r="AE2586" s="340"/>
      <c r="AI2586" s="340"/>
      <c r="AN2586" s="340"/>
      <c r="AO2586" s="340"/>
      <c r="AS2586" s="340"/>
      <c r="AX2586" s="340"/>
      <c r="BB2586" s="340"/>
      <c r="BD2586" s="339"/>
    </row>
    <row r="2587" spans="7:56" s="338" customFormat="1">
      <c r="G2587" s="340"/>
      <c r="L2587" s="340"/>
      <c r="P2587" s="340"/>
      <c r="U2587" s="340"/>
      <c r="V2587" s="340"/>
      <c r="Z2587" s="340"/>
      <c r="AE2587" s="340"/>
      <c r="AI2587" s="340"/>
      <c r="AN2587" s="340"/>
      <c r="AO2587" s="340"/>
      <c r="AS2587" s="340"/>
      <c r="AX2587" s="340"/>
      <c r="BB2587" s="340"/>
      <c r="BD2587" s="339"/>
    </row>
    <row r="2588" spans="7:56" s="338" customFormat="1">
      <c r="G2588" s="340"/>
      <c r="L2588" s="340"/>
      <c r="P2588" s="340"/>
      <c r="U2588" s="340"/>
      <c r="V2588" s="340"/>
      <c r="Z2588" s="340"/>
      <c r="AE2588" s="340"/>
      <c r="AI2588" s="340"/>
      <c r="AN2588" s="340"/>
      <c r="AO2588" s="340"/>
      <c r="AS2588" s="340"/>
      <c r="AX2588" s="340"/>
      <c r="BB2588" s="340"/>
      <c r="BD2588" s="339"/>
    </row>
    <row r="2589" spans="7:56" s="338" customFormat="1">
      <c r="G2589" s="340"/>
      <c r="L2589" s="340"/>
      <c r="P2589" s="340"/>
      <c r="U2589" s="340"/>
      <c r="V2589" s="340"/>
      <c r="Z2589" s="340"/>
      <c r="AE2589" s="340"/>
      <c r="AI2589" s="340"/>
      <c r="AN2589" s="340"/>
      <c r="AO2589" s="340"/>
      <c r="AS2589" s="340"/>
      <c r="AX2589" s="340"/>
      <c r="BB2589" s="340"/>
      <c r="BD2589" s="339"/>
    </row>
    <row r="2590" spans="7:56" s="338" customFormat="1">
      <c r="G2590" s="340"/>
      <c r="L2590" s="340"/>
      <c r="P2590" s="340"/>
      <c r="U2590" s="340"/>
      <c r="V2590" s="340"/>
      <c r="Z2590" s="340"/>
      <c r="AE2590" s="340"/>
      <c r="AI2590" s="340"/>
      <c r="AN2590" s="340"/>
      <c r="AO2590" s="340"/>
      <c r="AS2590" s="340"/>
      <c r="AX2590" s="340"/>
      <c r="BB2590" s="340"/>
      <c r="BD2590" s="339"/>
    </row>
    <row r="2591" spans="7:56" s="338" customFormat="1">
      <c r="G2591" s="340"/>
      <c r="L2591" s="340"/>
      <c r="P2591" s="340"/>
      <c r="U2591" s="340"/>
      <c r="V2591" s="340"/>
      <c r="Z2591" s="340"/>
      <c r="AE2591" s="340"/>
      <c r="AI2591" s="340"/>
      <c r="AN2591" s="340"/>
      <c r="AO2591" s="340"/>
      <c r="AS2591" s="340"/>
      <c r="AX2591" s="340"/>
      <c r="BB2591" s="340"/>
      <c r="BD2591" s="339"/>
    </row>
    <row r="2592" spans="7:56" s="338" customFormat="1">
      <c r="G2592" s="340"/>
      <c r="L2592" s="340"/>
      <c r="P2592" s="340"/>
      <c r="U2592" s="340"/>
      <c r="V2592" s="340"/>
      <c r="Z2592" s="340"/>
      <c r="AE2592" s="340"/>
      <c r="AI2592" s="340"/>
      <c r="AN2592" s="340"/>
      <c r="AO2592" s="340"/>
      <c r="AS2592" s="340"/>
      <c r="AX2592" s="340"/>
      <c r="BB2592" s="340"/>
      <c r="BD2592" s="339"/>
    </row>
    <row r="2593" spans="7:56" s="338" customFormat="1">
      <c r="G2593" s="340"/>
      <c r="L2593" s="340"/>
      <c r="P2593" s="340"/>
      <c r="U2593" s="340"/>
      <c r="V2593" s="340"/>
      <c r="Z2593" s="340"/>
      <c r="AE2593" s="340"/>
      <c r="AI2593" s="340"/>
      <c r="AN2593" s="340"/>
      <c r="AO2593" s="340"/>
      <c r="AS2593" s="340"/>
      <c r="AX2593" s="340"/>
      <c r="BB2593" s="340"/>
      <c r="BD2593" s="339"/>
    </row>
    <row r="2594" spans="7:56" s="338" customFormat="1">
      <c r="G2594" s="340"/>
      <c r="L2594" s="340"/>
      <c r="P2594" s="340"/>
      <c r="U2594" s="340"/>
      <c r="V2594" s="340"/>
      <c r="Z2594" s="340"/>
      <c r="AE2594" s="340"/>
      <c r="AI2594" s="340"/>
      <c r="AN2594" s="340"/>
      <c r="AO2594" s="340"/>
      <c r="AS2594" s="340"/>
      <c r="AX2594" s="340"/>
      <c r="BB2594" s="340"/>
      <c r="BD2594" s="339"/>
    </row>
    <row r="2595" spans="7:56" s="338" customFormat="1">
      <c r="G2595" s="340"/>
      <c r="L2595" s="340"/>
      <c r="P2595" s="340"/>
      <c r="U2595" s="340"/>
      <c r="V2595" s="340"/>
      <c r="Z2595" s="340"/>
      <c r="AE2595" s="340"/>
      <c r="AI2595" s="340"/>
      <c r="AN2595" s="340"/>
      <c r="AO2595" s="340"/>
      <c r="AS2595" s="340"/>
      <c r="AX2595" s="340"/>
      <c r="BB2595" s="340"/>
      <c r="BD2595" s="339"/>
    </row>
    <row r="2596" spans="7:56" s="338" customFormat="1">
      <c r="G2596" s="340"/>
      <c r="L2596" s="340"/>
      <c r="P2596" s="340"/>
      <c r="U2596" s="340"/>
      <c r="V2596" s="340"/>
      <c r="Z2596" s="340"/>
      <c r="AE2596" s="340"/>
      <c r="AI2596" s="340"/>
      <c r="AN2596" s="340"/>
      <c r="AO2596" s="340"/>
      <c r="AS2596" s="340"/>
      <c r="AX2596" s="340"/>
      <c r="BB2596" s="340"/>
      <c r="BD2596" s="339"/>
    </row>
    <row r="2597" spans="7:56" s="338" customFormat="1">
      <c r="G2597" s="340"/>
      <c r="L2597" s="340"/>
      <c r="P2597" s="340"/>
      <c r="U2597" s="340"/>
      <c r="V2597" s="340"/>
      <c r="Z2597" s="340"/>
      <c r="AE2597" s="340"/>
      <c r="AI2597" s="340"/>
      <c r="AN2597" s="340"/>
      <c r="AO2597" s="340"/>
      <c r="AS2597" s="340"/>
      <c r="AX2597" s="340"/>
      <c r="BB2597" s="340"/>
      <c r="BD2597" s="339"/>
    </row>
    <row r="2598" spans="7:56" s="338" customFormat="1">
      <c r="G2598" s="340"/>
      <c r="L2598" s="340"/>
      <c r="P2598" s="340"/>
      <c r="U2598" s="340"/>
      <c r="V2598" s="340"/>
      <c r="Z2598" s="340"/>
      <c r="AE2598" s="340"/>
      <c r="AI2598" s="340"/>
      <c r="AN2598" s="340"/>
      <c r="AO2598" s="340"/>
      <c r="AS2598" s="340"/>
      <c r="AX2598" s="340"/>
      <c r="BB2598" s="340"/>
      <c r="BD2598" s="339"/>
    </row>
    <row r="2599" spans="7:56" s="338" customFormat="1">
      <c r="G2599" s="340"/>
      <c r="L2599" s="340"/>
      <c r="P2599" s="340"/>
      <c r="U2599" s="340"/>
      <c r="V2599" s="340"/>
      <c r="Z2599" s="340"/>
      <c r="AE2599" s="340"/>
      <c r="AI2599" s="340"/>
      <c r="AN2599" s="340"/>
      <c r="AO2599" s="340"/>
      <c r="AS2599" s="340"/>
      <c r="AX2599" s="340"/>
      <c r="BB2599" s="340"/>
      <c r="BD2599" s="339"/>
    </row>
    <row r="2600" spans="7:56" s="338" customFormat="1">
      <c r="G2600" s="340"/>
      <c r="L2600" s="340"/>
      <c r="P2600" s="340"/>
      <c r="U2600" s="340"/>
      <c r="V2600" s="340"/>
      <c r="Z2600" s="340"/>
      <c r="AE2600" s="340"/>
      <c r="AI2600" s="340"/>
      <c r="AN2600" s="340"/>
      <c r="AO2600" s="340"/>
      <c r="AS2600" s="340"/>
      <c r="AX2600" s="340"/>
      <c r="BB2600" s="340"/>
      <c r="BD2600" s="339"/>
    </row>
    <row r="2601" spans="7:56" s="338" customFormat="1">
      <c r="G2601" s="340"/>
      <c r="L2601" s="340"/>
      <c r="P2601" s="340"/>
      <c r="U2601" s="340"/>
      <c r="V2601" s="340"/>
      <c r="Z2601" s="340"/>
      <c r="AE2601" s="340"/>
      <c r="AI2601" s="340"/>
      <c r="AN2601" s="340"/>
      <c r="AO2601" s="340"/>
      <c r="AS2601" s="340"/>
      <c r="AX2601" s="340"/>
      <c r="BB2601" s="340"/>
      <c r="BD2601" s="339"/>
    </row>
    <row r="2602" spans="7:56" s="338" customFormat="1">
      <c r="G2602" s="340"/>
      <c r="L2602" s="340"/>
      <c r="P2602" s="340"/>
      <c r="U2602" s="340"/>
      <c r="V2602" s="340"/>
      <c r="Z2602" s="340"/>
      <c r="AE2602" s="340"/>
      <c r="AI2602" s="340"/>
      <c r="AN2602" s="340"/>
      <c r="AO2602" s="340"/>
      <c r="AS2602" s="340"/>
      <c r="AX2602" s="340"/>
      <c r="BB2602" s="340"/>
      <c r="BD2602" s="339"/>
    </row>
    <row r="2603" spans="7:56" s="338" customFormat="1">
      <c r="G2603" s="340"/>
      <c r="L2603" s="340"/>
      <c r="P2603" s="340"/>
      <c r="U2603" s="340"/>
      <c r="V2603" s="340"/>
      <c r="Z2603" s="340"/>
      <c r="AE2603" s="340"/>
      <c r="AI2603" s="340"/>
      <c r="AN2603" s="340"/>
      <c r="AO2603" s="340"/>
      <c r="AS2603" s="340"/>
      <c r="AX2603" s="340"/>
      <c r="BB2603" s="340"/>
      <c r="BD2603" s="339"/>
    </row>
    <row r="2604" spans="7:56" s="338" customFormat="1">
      <c r="G2604" s="340"/>
      <c r="L2604" s="340"/>
      <c r="P2604" s="340"/>
      <c r="U2604" s="340"/>
      <c r="V2604" s="340"/>
      <c r="Z2604" s="340"/>
      <c r="AE2604" s="340"/>
      <c r="AI2604" s="340"/>
      <c r="AN2604" s="340"/>
      <c r="AO2604" s="340"/>
      <c r="AS2604" s="340"/>
      <c r="AX2604" s="340"/>
      <c r="BB2604" s="340"/>
      <c r="BD2604" s="339"/>
    </row>
    <row r="2605" spans="7:56" s="338" customFormat="1">
      <c r="G2605" s="340"/>
      <c r="L2605" s="340"/>
      <c r="P2605" s="340"/>
      <c r="U2605" s="340"/>
      <c r="V2605" s="340"/>
      <c r="Z2605" s="340"/>
      <c r="AE2605" s="340"/>
      <c r="AI2605" s="340"/>
      <c r="AN2605" s="340"/>
      <c r="AO2605" s="340"/>
      <c r="AS2605" s="340"/>
      <c r="AX2605" s="340"/>
      <c r="BB2605" s="340"/>
      <c r="BD2605" s="339"/>
    </row>
    <row r="2606" spans="7:56" s="338" customFormat="1">
      <c r="G2606" s="340"/>
      <c r="L2606" s="340"/>
      <c r="P2606" s="340"/>
      <c r="U2606" s="340"/>
      <c r="V2606" s="340"/>
      <c r="Z2606" s="340"/>
      <c r="AE2606" s="340"/>
      <c r="AI2606" s="340"/>
      <c r="AN2606" s="340"/>
      <c r="AO2606" s="340"/>
      <c r="AS2606" s="340"/>
      <c r="AX2606" s="340"/>
      <c r="BB2606" s="340"/>
      <c r="BD2606" s="339"/>
    </row>
    <row r="2607" spans="7:56" s="338" customFormat="1">
      <c r="G2607" s="340"/>
      <c r="L2607" s="340"/>
      <c r="P2607" s="340"/>
      <c r="U2607" s="340"/>
      <c r="V2607" s="340"/>
      <c r="Z2607" s="340"/>
      <c r="AE2607" s="340"/>
      <c r="AI2607" s="340"/>
      <c r="AN2607" s="340"/>
      <c r="AO2607" s="340"/>
      <c r="AS2607" s="340"/>
      <c r="AX2607" s="340"/>
      <c r="BB2607" s="340"/>
      <c r="BD2607" s="339"/>
    </row>
    <row r="2608" spans="7:56" s="338" customFormat="1">
      <c r="G2608" s="340"/>
      <c r="L2608" s="340"/>
      <c r="P2608" s="340"/>
      <c r="U2608" s="340"/>
      <c r="V2608" s="340"/>
      <c r="Z2608" s="340"/>
      <c r="AE2608" s="340"/>
      <c r="AI2608" s="340"/>
      <c r="AN2608" s="340"/>
      <c r="AO2608" s="340"/>
      <c r="AS2608" s="340"/>
      <c r="AX2608" s="340"/>
      <c r="BB2608" s="340"/>
      <c r="BD2608" s="339"/>
    </row>
    <row r="2609" spans="7:56" s="338" customFormat="1">
      <c r="G2609" s="340"/>
      <c r="L2609" s="340"/>
      <c r="P2609" s="340"/>
      <c r="U2609" s="340"/>
      <c r="V2609" s="340"/>
      <c r="Z2609" s="340"/>
      <c r="AE2609" s="340"/>
      <c r="AI2609" s="340"/>
      <c r="AN2609" s="340"/>
      <c r="AO2609" s="340"/>
      <c r="AS2609" s="340"/>
      <c r="AX2609" s="340"/>
      <c r="BB2609" s="340"/>
      <c r="BD2609" s="339"/>
    </row>
    <row r="2610" spans="7:56" s="338" customFormat="1">
      <c r="G2610" s="340"/>
      <c r="L2610" s="340"/>
      <c r="P2610" s="340"/>
      <c r="U2610" s="340"/>
      <c r="V2610" s="340"/>
      <c r="Z2610" s="340"/>
      <c r="AE2610" s="340"/>
      <c r="AI2610" s="340"/>
      <c r="AN2610" s="340"/>
      <c r="AO2610" s="340"/>
      <c r="AS2610" s="340"/>
      <c r="AX2610" s="340"/>
      <c r="BB2610" s="340"/>
      <c r="BD2610" s="339"/>
    </row>
    <row r="2611" spans="7:56" s="338" customFormat="1">
      <c r="G2611" s="340"/>
      <c r="L2611" s="340"/>
      <c r="P2611" s="340"/>
      <c r="U2611" s="340"/>
      <c r="V2611" s="340"/>
      <c r="Z2611" s="340"/>
      <c r="AE2611" s="340"/>
      <c r="AI2611" s="340"/>
      <c r="AN2611" s="340"/>
      <c r="AO2611" s="340"/>
      <c r="AS2611" s="340"/>
      <c r="AX2611" s="340"/>
      <c r="BB2611" s="340"/>
      <c r="BD2611" s="339"/>
    </row>
    <row r="2612" spans="7:56" s="338" customFormat="1">
      <c r="G2612" s="340"/>
      <c r="L2612" s="340"/>
      <c r="P2612" s="340"/>
      <c r="U2612" s="340"/>
      <c r="V2612" s="340"/>
      <c r="Z2612" s="340"/>
      <c r="AE2612" s="340"/>
      <c r="AI2612" s="340"/>
      <c r="AN2612" s="340"/>
      <c r="AO2612" s="340"/>
      <c r="AS2612" s="340"/>
      <c r="AX2612" s="340"/>
      <c r="BB2612" s="340"/>
      <c r="BD2612" s="339"/>
    </row>
    <row r="2613" spans="7:56" s="338" customFormat="1">
      <c r="G2613" s="340"/>
      <c r="L2613" s="340"/>
      <c r="P2613" s="340"/>
      <c r="U2613" s="340"/>
      <c r="V2613" s="340"/>
      <c r="Z2613" s="340"/>
      <c r="AE2613" s="340"/>
      <c r="AI2613" s="340"/>
      <c r="AN2613" s="340"/>
      <c r="AO2613" s="340"/>
      <c r="AS2613" s="340"/>
      <c r="AX2613" s="340"/>
      <c r="BB2613" s="340"/>
      <c r="BD2613" s="339"/>
    </row>
    <row r="2614" spans="7:56" s="338" customFormat="1">
      <c r="G2614" s="340"/>
      <c r="L2614" s="340"/>
      <c r="P2614" s="340"/>
      <c r="U2614" s="340"/>
      <c r="V2614" s="340"/>
      <c r="Z2614" s="340"/>
      <c r="AE2614" s="340"/>
      <c r="AI2614" s="340"/>
      <c r="AN2614" s="340"/>
      <c r="AO2614" s="340"/>
      <c r="AS2614" s="340"/>
      <c r="AX2614" s="340"/>
      <c r="BB2614" s="340"/>
      <c r="BD2614" s="339"/>
    </row>
    <row r="2615" spans="7:56" s="338" customFormat="1">
      <c r="G2615" s="340"/>
      <c r="L2615" s="340"/>
      <c r="P2615" s="340"/>
      <c r="U2615" s="340"/>
      <c r="V2615" s="340"/>
      <c r="Z2615" s="340"/>
      <c r="AE2615" s="340"/>
      <c r="AI2615" s="340"/>
      <c r="AN2615" s="340"/>
      <c r="AO2615" s="340"/>
      <c r="AS2615" s="340"/>
      <c r="AX2615" s="340"/>
      <c r="BB2615" s="340"/>
      <c r="BD2615" s="339"/>
    </row>
    <row r="2616" spans="7:56" s="338" customFormat="1">
      <c r="G2616" s="340"/>
      <c r="L2616" s="340"/>
      <c r="P2616" s="340"/>
      <c r="U2616" s="340"/>
      <c r="V2616" s="340"/>
      <c r="Z2616" s="340"/>
      <c r="AE2616" s="340"/>
      <c r="AI2616" s="340"/>
      <c r="AN2616" s="340"/>
      <c r="AO2616" s="340"/>
      <c r="AS2616" s="340"/>
      <c r="AX2616" s="340"/>
      <c r="BB2616" s="340"/>
      <c r="BD2616" s="339"/>
    </row>
    <row r="2617" spans="7:56" s="338" customFormat="1">
      <c r="G2617" s="340"/>
      <c r="L2617" s="340"/>
      <c r="P2617" s="340"/>
      <c r="U2617" s="340"/>
      <c r="V2617" s="340"/>
      <c r="Z2617" s="340"/>
      <c r="AE2617" s="340"/>
      <c r="AI2617" s="340"/>
      <c r="AN2617" s="340"/>
      <c r="AO2617" s="340"/>
      <c r="AS2617" s="340"/>
      <c r="AX2617" s="340"/>
      <c r="BB2617" s="340"/>
      <c r="BD2617" s="339"/>
    </row>
    <row r="2618" spans="7:56" s="338" customFormat="1">
      <c r="G2618" s="340"/>
      <c r="L2618" s="340"/>
      <c r="P2618" s="340"/>
      <c r="U2618" s="340"/>
      <c r="V2618" s="340"/>
      <c r="Z2618" s="340"/>
      <c r="AE2618" s="340"/>
      <c r="AI2618" s="340"/>
      <c r="AN2618" s="340"/>
      <c r="AO2618" s="340"/>
      <c r="AS2618" s="340"/>
      <c r="AX2618" s="340"/>
      <c r="BB2618" s="340"/>
      <c r="BD2618" s="339"/>
    </row>
    <row r="2619" spans="7:56" s="338" customFormat="1">
      <c r="G2619" s="340"/>
      <c r="L2619" s="340"/>
      <c r="P2619" s="340"/>
      <c r="U2619" s="340"/>
      <c r="V2619" s="340"/>
      <c r="Z2619" s="340"/>
      <c r="AE2619" s="340"/>
      <c r="AI2619" s="340"/>
      <c r="AN2619" s="340"/>
      <c r="AO2619" s="340"/>
      <c r="AS2619" s="340"/>
      <c r="AX2619" s="340"/>
      <c r="BB2619" s="340"/>
      <c r="BD2619" s="339"/>
    </row>
    <row r="2620" spans="7:56" s="338" customFormat="1">
      <c r="G2620" s="340"/>
      <c r="L2620" s="340"/>
      <c r="P2620" s="340"/>
      <c r="U2620" s="340"/>
      <c r="V2620" s="340"/>
      <c r="Z2620" s="340"/>
      <c r="AE2620" s="340"/>
      <c r="AI2620" s="340"/>
      <c r="AN2620" s="340"/>
      <c r="AO2620" s="340"/>
      <c r="AS2620" s="340"/>
      <c r="AX2620" s="340"/>
      <c r="BB2620" s="340"/>
      <c r="BD2620" s="339"/>
    </row>
    <row r="2621" spans="7:56" s="338" customFormat="1">
      <c r="G2621" s="340"/>
      <c r="L2621" s="340"/>
      <c r="P2621" s="340"/>
      <c r="U2621" s="340"/>
      <c r="V2621" s="340"/>
      <c r="Z2621" s="340"/>
      <c r="AE2621" s="340"/>
      <c r="AI2621" s="340"/>
      <c r="AN2621" s="340"/>
      <c r="AO2621" s="340"/>
      <c r="AS2621" s="340"/>
      <c r="AX2621" s="340"/>
      <c r="BB2621" s="340"/>
      <c r="BD2621" s="339"/>
    </row>
    <row r="2622" spans="7:56" s="338" customFormat="1">
      <c r="G2622" s="340"/>
      <c r="L2622" s="340"/>
      <c r="P2622" s="340"/>
      <c r="U2622" s="340"/>
      <c r="V2622" s="340"/>
      <c r="Z2622" s="340"/>
      <c r="AE2622" s="340"/>
      <c r="AI2622" s="340"/>
      <c r="AN2622" s="340"/>
      <c r="AO2622" s="340"/>
      <c r="AS2622" s="340"/>
      <c r="AX2622" s="340"/>
      <c r="BB2622" s="340"/>
      <c r="BD2622" s="339"/>
    </row>
    <row r="2623" spans="7:56" s="338" customFormat="1">
      <c r="G2623" s="340"/>
      <c r="L2623" s="340"/>
      <c r="P2623" s="340"/>
      <c r="U2623" s="340"/>
      <c r="V2623" s="340"/>
      <c r="Z2623" s="340"/>
      <c r="AE2623" s="340"/>
      <c r="AI2623" s="340"/>
      <c r="AN2623" s="340"/>
      <c r="AO2623" s="340"/>
      <c r="AS2623" s="340"/>
      <c r="AX2623" s="340"/>
      <c r="BB2623" s="340"/>
      <c r="BD2623" s="339"/>
    </row>
    <row r="2624" spans="7:56" s="338" customFormat="1">
      <c r="G2624" s="340"/>
      <c r="L2624" s="340"/>
      <c r="P2624" s="340"/>
      <c r="U2624" s="340"/>
      <c r="V2624" s="340"/>
      <c r="Z2624" s="340"/>
      <c r="AE2624" s="340"/>
      <c r="AI2624" s="340"/>
      <c r="AN2624" s="340"/>
      <c r="AO2624" s="340"/>
      <c r="AS2624" s="340"/>
      <c r="AX2624" s="340"/>
      <c r="BB2624" s="340"/>
      <c r="BD2624" s="339"/>
    </row>
    <row r="2625" spans="7:56" s="338" customFormat="1">
      <c r="G2625" s="340"/>
      <c r="L2625" s="340"/>
      <c r="P2625" s="340"/>
      <c r="U2625" s="340"/>
      <c r="V2625" s="340"/>
      <c r="Z2625" s="340"/>
      <c r="AE2625" s="340"/>
      <c r="AI2625" s="340"/>
      <c r="AN2625" s="340"/>
      <c r="AO2625" s="340"/>
      <c r="AS2625" s="340"/>
      <c r="AX2625" s="340"/>
      <c r="BB2625" s="340"/>
      <c r="BD2625" s="339"/>
    </row>
    <row r="2626" spans="7:56" s="338" customFormat="1">
      <c r="G2626" s="340"/>
      <c r="L2626" s="340"/>
      <c r="P2626" s="340"/>
      <c r="U2626" s="340"/>
      <c r="V2626" s="340"/>
      <c r="Z2626" s="340"/>
      <c r="AE2626" s="340"/>
      <c r="AI2626" s="340"/>
      <c r="AN2626" s="340"/>
      <c r="AO2626" s="340"/>
      <c r="AS2626" s="340"/>
      <c r="AX2626" s="340"/>
      <c r="BB2626" s="340"/>
      <c r="BD2626" s="339"/>
    </row>
    <row r="2627" spans="7:56" s="338" customFormat="1">
      <c r="G2627" s="340"/>
      <c r="L2627" s="340"/>
      <c r="P2627" s="340"/>
      <c r="U2627" s="340"/>
      <c r="V2627" s="340"/>
      <c r="Z2627" s="340"/>
      <c r="AE2627" s="340"/>
      <c r="AI2627" s="340"/>
      <c r="AN2627" s="340"/>
      <c r="AO2627" s="340"/>
      <c r="AS2627" s="340"/>
      <c r="AX2627" s="340"/>
      <c r="BB2627" s="340"/>
      <c r="BD2627" s="339"/>
    </row>
    <row r="2628" spans="7:56" s="338" customFormat="1">
      <c r="G2628" s="340"/>
      <c r="L2628" s="340"/>
      <c r="P2628" s="340"/>
      <c r="U2628" s="340"/>
      <c r="V2628" s="340"/>
      <c r="Z2628" s="340"/>
      <c r="AE2628" s="340"/>
      <c r="AI2628" s="340"/>
      <c r="AN2628" s="340"/>
      <c r="AO2628" s="340"/>
      <c r="AS2628" s="340"/>
      <c r="AX2628" s="340"/>
      <c r="BB2628" s="340"/>
      <c r="BD2628" s="339"/>
    </row>
    <row r="2629" spans="7:56" s="338" customFormat="1">
      <c r="G2629" s="340"/>
      <c r="L2629" s="340"/>
      <c r="P2629" s="340"/>
      <c r="U2629" s="340"/>
      <c r="V2629" s="340"/>
      <c r="Z2629" s="340"/>
      <c r="AE2629" s="340"/>
      <c r="AI2629" s="340"/>
      <c r="AN2629" s="340"/>
      <c r="AO2629" s="340"/>
      <c r="AS2629" s="340"/>
      <c r="AX2629" s="340"/>
      <c r="BB2629" s="340"/>
      <c r="BD2629" s="339"/>
    </row>
    <row r="2630" spans="7:56" s="338" customFormat="1">
      <c r="G2630" s="340"/>
      <c r="L2630" s="340"/>
      <c r="P2630" s="340"/>
      <c r="U2630" s="340"/>
      <c r="V2630" s="340"/>
      <c r="Z2630" s="340"/>
      <c r="AE2630" s="340"/>
      <c r="AI2630" s="340"/>
      <c r="AN2630" s="340"/>
      <c r="AO2630" s="340"/>
      <c r="AS2630" s="340"/>
      <c r="AX2630" s="340"/>
      <c r="BB2630" s="340"/>
      <c r="BD2630" s="339"/>
    </row>
    <row r="2631" spans="7:56" s="338" customFormat="1">
      <c r="G2631" s="340"/>
      <c r="L2631" s="340"/>
      <c r="P2631" s="340"/>
      <c r="U2631" s="340"/>
      <c r="V2631" s="340"/>
      <c r="Z2631" s="340"/>
      <c r="AE2631" s="340"/>
      <c r="AI2631" s="340"/>
      <c r="AN2631" s="340"/>
      <c r="AO2631" s="340"/>
      <c r="AS2631" s="340"/>
      <c r="AX2631" s="340"/>
      <c r="BB2631" s="340"/>
      <c r="BD2631" s="339"/>
    </row>
    <row r="2632" spans="7:56" s="338" customFormat="1">
      <c r="G2632" s="340"/>
      <c r="L2632" s="340"/>
      <c r="P2632" s="340"/>
      <c r="U2632" s="340"/>
      <c r="V2632" s="340"/>
      <c r="Z2632" s="340"/>
      <c r="AE2632" s="340"/>
      <c r="AI2632" s="340"/>
      <c r="AN2632" s="340"/>
      <c r="AO2632" s="340"/>
      <c r="AS2632" s="340"/>
      <c r="AX2632" s="340"/>
      <c r="BB2632" s="340"/>
      <c r="BD2632" s="339"/>
    </row>
    <row r="2633" spans="7:56" s="338" customFormat="1">
      <c r="G2633" s="340"/>
      <c r="L2633" s="340"/>
      <c r="P2633" s="340"/>
      <c r="U2633" s="340"/>
      <c r="V2633" s="340"/>
      <c r="Z2633" s="340"/>
      <c r="AE2633" s="340"/>
      <c r="AI2633" s="340"/>
      <c r="AN2633" s="340"/>
      <c r="AO2633" s="340"/>
      <c r="AS2633" s="340"/>
      <c r="AX2633" s="340"/>
      <c r="BB2633" s="340"/>
      <c r="BD2633" s="339"/>
    </row>
    <row r="2634" spans="7:56" s="338" customFormat="1">
      <c r="G2634" s="340"/>
      <c r="L2634" s="340"/>
      <c r="P2634" s="340"/>
      <c r="U2634" s="340"/>
      <c r="V2634" s="340"/>
      <c r="Z2634" s="340"/>
      <c r="AE2634" s="340"/>
      <c r="AI2634" s="340"/>
      <c r="AN2634" s="340"/>
      <c r="AO2634" s="340"/>
      <c r="AS2634" s="340"/>
      <c r="AX2634" s="340"/>
      <c r="BB2634" s="340"/>
      <c r="BD2634" s="339"/>
    </row>
    <row r="2635" spans="7:56" s="338" customFormat="1">
      <c r="G2635" s="340"/>
      <c r="L2635" s="340"/>
      <c r="P2635" s="340"/>
      <c r="U2635" s="340"/>
      <c r="V2635" s="340"/>
      <c r="Z2635" s="340"/>
      <c r="AE2635" s="340"/>
      <c r="AI2635" s="340"/>
      <c r="AN2635" s="340"/>
      <c r="AO2635" s="340"/>
      <c r="AS2635" s="340"/>
      <c r="AX2635" s="340"/>
      <c r="BB2635" s="340"/>
      <c r="BD2635" s="339"/>
    </row>
    <row r="2636" spans="7:56" s="338" customFormat="1">
      <c r="G2636" s="340"/>
      <c r="L2636" s="340"/>
      <c r="P2636" s="340"/>
      <c r="U2636" s="340"/>
      <c r="V2636" s="340"/>
      <c r="Z2636" s="340"/>
      <c r="AE2636" s="340"/>
      <c r="AI2636" s="340"/>
      <c r="AN2636" s="340"/>
      <c r="AO2636" s="340"/>
      <c r="AS2636" s="340"/>
      <c r="AX2636" s="340"/>
      <c r="BB2636" s="340"/>
      <c r="BD2636" s="339"/>
    </row>
    <row r="2637" spans="7:56" s="338" customFormat="1">
      <c r="G2637" s="340"/>
      <c r="L2637" s="340"/>
      <c r="P2637" s="340"/>
      <c r="U2637" s="340"/>
      <c r="V2637" s="340"/>
      <c r="Z2637" s="340"/>
      <c r="AE2637" s="340"/>
      <c r="AI2637" s="340"/>
      <c r="AN2637" s="340"/>
      <c r="AO2637" s="340"/>
      <c r="AS2637" s="340"/>
      <c r="AX2637" s="340"/>
      <c r="BB2637" s="340"/>
      <c r="BD2637" s="339"/>
    </row>
    <row r="2638" spans="7:56" s="338" customFormat="1">
      <c r="G2638" s="340"/>
      <c r="L2638" s="340"/>
      <c r="P2638" s="340"/>
      <c r="U2638" s="340"/>
      <c r="V2638" s="340"/>
      <c r="Z2638" s="340"/>
      <c r="AE2638" s="340"/>
      <c r="AI2638" s="340"/>
      <c r="AN2638" s="340"/>
      <c r="AO2638" s="340"/>
      <c r="AS2638" s="340"/>
      <c r="AX2638" s="340"/>
      <c r="BB2638" s="340"/>
      <c r="BD2638" s="339"/>
    </row>
    <row r="2639" spans="7:56" s="338" customFormat="1">
      <c r="G2639" s="340"/>
      <c r="L2639" s="340"/>
      <c r="P2639" s="340"/>
      <c r="U2639" s="340"/>
      <c r="V2639" s="340"/>
      <c r="Z2639" s="340"/>
      <c r="AE2639" s="340"/>
      <c r="AI2639" s="340"/>
      <c r="AN2639" s="340"/>
      <c r="AO2639" s="340"/>
      <c r="AS2639" s="340"/>
      <c r="AX2639" s="340"/>
      <c r="BB2639" s="340"/>
      <c r="BD2639" s="339"/>
    </row>
    <row r="2640" spans="7:56" s="338" customFormat="1">
      <c r="G2640" s="340"/>
      <c r="L2640" s="340"/>
      <c r="P2640" s="340"/>
      <c r="U2640" s="340"/>
      <c r="V2640" s="340"/>
      <c r="Z2640" s="340"/>
      <c r="AE2640" s="340"/>
      <c r="AI2640" s="340"/>
      <c r="AN2640" s="340"/>
      <c r="AO2640" s="340"/>
      <c r="AS2640" s="340"/>
      <c r="AX2640" s="340"/>
      <c r="BB2640" s="340"/>
      <c r="BD2640" s="339"/>
    </row>
    <row r="2641" spans="7:56" s="338" customFormat="1">
      <c r="G2641" s="340"/>
      <c r="L2641" s="340"/>
      <c r="P2641" s="340"/>
      <c r="U2641" s="340"/>
      <c r="V2641" s="340"/>
      <c r="Z2641" s="340"/>
      <c r="AE2641" s="340"/>
      <c r="AI2641" s="340"/>
      <c r="AN2641" s="340"/>
      <c r="AO2641" s="340"/>
      <c r="AS2641" s="340"/>
      <c r="AX2641" s="340"/>
      <c r="BB2641" s="340"/>
      <c r="BD2641" s="339"/>
    </row>
    <row r="2642" spans="7:56" s="338" customFormat="1">
      <c r="G2642" s="340"/>
      <c r="L2642" s="340"/>
      <c r="P2642" s="340"/>
      <c r="U2642" s="340"/>
      <c r="V2642" s="340"/>
      <c r="Z2642" s="340"/>
      <c r="AE2642" s="340"/>
      <c r="AI2642" s="340"/>
      <c r="AN2642" s="340"/>
      <c r="AO2642" s="340"/>
      <c r="AS2642" s="340"/>
      <c r="AX2642" s="340"/>
      <c r="BB2642" s="340"/>
      <c r="BD2642" s="339"/>
    </row>
    <row r="2643" spans="7:56" s="338" customFormat="1">
      <c r="G2643" s="340"/>
      <c r="L2643" s="340"/>
      <c r="P2643" s="340"/>
      <c r="U2643" s="340"/>
      <c r="V2643" s="340"/>
      <c r="Z2643" s="340"/>
      <c r="AE2643" s="340"/>
      <c r="AI2643" s="340"/>
      <c r="AN2643" s="340"/>
      <c r="AO2643" s="340"/>
      <c r="AS2643" s="340"/>
      <c r="AX2643" s="340"/>
      <c r="BB2643" s="340"/>
      <c r="BD2643" s="339"/>
    </row>
    <row r="2644" spans="7:56" s="338" customFormat="1">
      <c r="G2644" s="340"/>
      <c r="L2644" s="340"/>
      <c r="P2644" s="340"/>
      <c r="U2644" s="340"/>
      <c r="V2644" s="340"/>
      <c r="Z2644" s="340"/>
      <c r="AE2644" s="340"/>
      <c r="AI2644" s="340"/>
      <c r="AN2644" s="340"/>
      <c r="AO2644" s="340"/>
      <c r="AS2644" s="340"/>
      <c r="AX2644" s="340"/>
      <c r="BB2644" s="340"/>
      <c r="BD2644" s="339"/>
    </row>
    <row r="2645" spans="7:56" s="338" customFormat="1">
      <c r="G2645" s="340"/>
      <c r="L2645" s="340"/>
      <c r="P2645" s="340"/>
      <c r="U2645" s="340"/>
      <c r="V2645" s="340"/>
      <c r="Z2645" s="340"/>
      <c r="AE2645" s="340"/>
      <c r="AI2645" s="340"/>
      <c r="AN2645" s="340"/>
      <c r="AO2645" s="340"/>
      <c r="AS2645" s="340"/>
      <c r="AX2645" s="340"/>
      <c r="BB2645" s="340"/>
      <c r="BD2645" s="339"/>
    </row>
    <row r="2646" spans="7:56" s="338" customFormat="1">
      <c r="G2646" s="340"/>
      <c r="L2646" s="340"/>
      <c r="P2646" s="340"/>
      <c r="U2646" s="340"/>
      <c r="V2646" s="340"/>
      <c r="Z2646" s="340"/>
      <c r="AE2646" s="340"/>
      <c r="AI2646" s="340"/>
      <c r="AN2646" s="340"/>
      <c r="AO2646" s="340"/>
      <c r="AS2646" s="340"/>
      <c r="AX2646" s="340"/>
      <c r="BB2646" s="340"/>
      <c r="BD2646" s="339"/>
    </row>
    <row r="2647" spans="7:56" s="338" customFormat="1">
      <c r="G2647" s="340"/>
      <c r="L2647" s="340"/>
      <c r="P2647" s="340"/>
      <c r="U2647" s="340"/>
      <c r="V2647" s="340"/>
      <c r="Z2647" s="340"/>
      <c r="AE2647" s="340"/>
      <c r="AI2647" s="340"/>
      <c r="AN2647" s="340"/>
      <c r="AO2647" s="340"/>
      <c r="AS2647" s="340"/>
      <c r="AX2647" s="340"/>
      <c r="BB2647" s="340"/>
      <c r="BD2647" s="339"/>
    </row>
    <row r="2648" spans="7:56" s="338" customFormat="1">
      <c r="G2648" s="340"/>
      <c r="L2648" s="340"/>
      <c r="P2648" s="340"/>
      <c r="U2648" s="340"/>
      <c r="V2648" s="340"/>
      <c r="Z2648" s="340"/>
      <c r="AE2648" s="340"/>
      <c r="AI2648" s="340"/>
      <c r="AN2648" s="340"/>
      <c r="AO2648" s="340"/>
      <c r="AS2648" s="340"/>
      <c r="AX2648" s="340"/>
      <c r="BB2648" s="340"/>
      <c r="BD2648" s="339"/>
    </row>
    <row r="2649" spans="7:56" s="338" customFormat="1">
      <c r="G2649" s="340"/>
      <c r="L2649" s="340"/>
      <c r="P2649" s="340"/>
      <c r="U2649" s="340"/>
      <c r="V2649" s="340"/>
      <c r="Z2649" s="340"/>
      <c r="AE2649" s="340"/>
      <c r="AI2649" s="340"/>
      <c r="AN2649" s="340"/>
      <c r="AO2649" s="340"/>
      <c r="AS2649" s="340"/>
      <c r="AX2649" s="340"/>
      <c r="BB2649" s="340"/>
      <c r="BD2649" s="339"/>
    </row>
    <row r="2650" spans="7:56" s="338" customFormat="1">
      <c r="G2650" s="340"/>
      <c r="L2650" s="340"/>
      <c r="P2650" s="340"/>
      <c r="U2650" s="340"/>
      <c r="V2650" s="340"/>
      <c r="Z2650" s="340"/>
      <c r="AE2650" s="340"/>
      <c r="AI2650" s="340"/>
      <c r="AN2650" s="340"/>
      <c r="AO2650" s="340"/>
      <c r="AS2650" s="340"/>
      <c r="AX2650" s="340"/>
      <c r="BB2650" s="340"/>
      <c r="BD2650" s="339"/>
    </row>
    <row r="2651" spans="7:56" s="338" customFormat="1">
      <c r="G2651" s="340"/>
      <c r="L2651" s="340"/>
      <c r="P2651" s="340"/>
      <c r="U2651" s="340"/>
      <c r="V2651" s="340"/>
      <c r="Z2651" s="340"/>
      <c r="AE2651" s="340"/>
      <c r="AI2651" s="340"/>
      <c r="AN2651" s="340"/>
      <c r="AO2651" s="340"/>
      <c r="AS2651" s="340"/>
      <c r="AX2651" s="340"/>
      <c r="BB2651" s="340"/>
      <c r="BD2651" s="339"/>
    </row>
    <row r="2652" spans="7:56" s="338" customFormat="1">
      <c r="G2652" s="340"/>
      <c r="L2652" s="340"/>
      <c r="P2652" s="340"/>
      <c r="U2652" s="340"/>
      <c r="V2652" s="340"/>
      <c r="Z2652" s="340"/>
      <c r="AE2652" s="340"/>
      <c r="AI2652" s="340"/>
      <c r="AN2652" s="340"/>
      <c r="AO2652" s="340"/>
      <c r="AS2652" s="340"/>
      <c r="AX2652" s="340"/>
      <c r="BB2652" s="340"/>
      <c r="BD2652" s="339"/>
    </row>
    <row r="2653" spans="7:56" s="338" customFormat="1">
      <c r="G2653" s="340"/>
      <c r="L2653" s="340"/>
      <c r="P2653" s="340"/>
      <c r="U2653" s="340"/>
      <c r="V2653" s="340"/>
      <c r="Z2653" s="340"/>
      <c r="AE2653" s="340"/>
      <c r="AI2653" s="340"/>
      <c r="AN2653" s="340"/>
      <c r="AO2653" s="340"/>
      <c r="AS2653" s="340"/>
      <c r="AX2653" s="340"/>
      <c r="BB2653" s="340"/>
      <c r="BD2653" s="339"/>
    </row>
    <row r="2654" spans="7:56" s="338" customFormat="1">
      <c r="G2654" s="340"/>
      <c r="L2654" s="340"/>
      <c r="P2654" s="340"/>
      <c r="U2654" s="340"/>
      <c r="V2654" s="340"/>
      <c r="Z2654" s="340"/>
      <c r="AE2654" s="340"/>
      <c r="AI2654" s="340"/>
      <c r="AN2654" s="340"/>
      <c r="AO2654" s="340"/>
      <c r="AS2654" s="340"/>
      <c r="AX2654" s="340"/>
      <c r="BB2654" s="340"/>
      <c r="BD2654" s="339"/>
    </row>
    <row r="2655" spans="7:56" s="338" customFormat="1">
      <c r="G2655" s="340"/>
      <c r="L2655" s="340"/>
      <c r="P2655" s="340"/>
      <c r="U2655" s="340"/>
      <c r="V2655" s="340"/>
      <c r="Z2655" s="340"/>
      <c r="AE2655" s="340"/>
      <c r="AI2655" s="340"/>
      <c r="AN2655" s="340"/>
      <c r="AO2655" s="340"/>
      <c r="AS2655" s="340"/>
      <c r="AX2655" s="340"/>
      <c r="BB2655" s="340"/>
      <c r="BD2655" s="339"/>
    </row>
    <row r="2656" spans="7:56" s="338" customFormat="1">
      <c r="G2656" s="340"/>
      <c r="L2656" s="340"/>
      <c r="P2656" s="340"/>
      <c r="U2656" s="340"/>
      <c r="V2656" s="340"/>
      <c r="Z2656" s="340"/>
      <c r="AE2656" s="340"/>
      <c r="AI2656" s="340"/>
      <c r="AN2656" s="340"/>
      <c r="AO2656" s="340"/>
      <c r="AS2656" s="340"/>
      <c r="AX2656" s="340"/>
      <c r="BB2656" s="340"/>
      <c r="BD2656" s="339"/>
    </row>
    <row r="2657" spans="7:56" s="338" customFormat="1">
      <c r="G2657" s="340"/>
      <c r="L2657" s="340"/>
      <c r="P2657" s="340"/>
      <c r="U2657" s="340"/>
      <c r="V2657" s="340"/>
      <c r="Z2657" s="340"/>
      <c r="AE2657" s="340"/>
      <c r="AI2657" s="340"/>
      <c r="AN2657" s="340"/>
      <c r="AO2657" s="340"/>
      <c r="AS2657" s="340"/>
      <c r="AX2657" s="340"/>
      <c r="BB2657" s="340"/>
      <c r="BD2657" s="339"/>
    </row>
    <row r="2658" spans="7:56" s="338" customFormat="1">
      <c r="G2658" s="340"/>
      <c r="L2658" s="340"/>
      <c r="P2658" s="340"/>
      <c r="U2658" s="340"/>
      <c r="V2658" s="340"/>
      <c r="Z2658" s="340"/>
      <c r="AE2658" s="340"/>
      <c r="AI2658" s="340"/>
      <c r="AN2658" s="340"/>
      <c r="AO2658" s="340"/>
      <c r="AS2658" s="340"/>
      <c r="AX2658" s="340"/>
      <c r="BB2658" s="340"/>
      <c r="BD2658" s="339"/>
    </row>
    <row r="2659" spans="7:56" s="338" customFormat="1">
      <c r="G2659" s="340"/>
      <c r="L2659" s="340"/>
      <c r="P2659" s="340"/>
      <c r="U2659" s="340"/>
      <c r="V2659" s="340"/>
      <c r="Z2659" s="340"/>
      <c r="AE2659" s="340"/>
      <c r="AI2659" s="340"/>
      <c r="AN2659" s="340"/>
      <c r="AO2659" s="340"/>
      <c r="AS2659" s="340"/>
      <c r="AX2659" s="340"/>
      <c r="BB2659" s="340"/>
      <c r="BD2659" s="339"/>
    </row>
    <row r="2660" spans="7:56" s="338" customFormat="1">
      <c r="G2660" s="340"/>
      <c r="L2660" s="340"/>
      <c r="P2660" s="340"/>
      <c r="U2660" s="340"/>
      <c r="V2660" s="340"/>
      <c r="Z2660" s="340"/>
      <c r="AE2660" s="340"/>
      <c r="AI2660" s="340"/>
      <c r="AN2660" s="340"/>
      <c r="AO2660" s="340"/>
      <c r="AS2660" s="340"/>
      <c r="AX2660" s="340"/>
      <c r="BB2660" s="340"/>
      <c r="BD2660" s="339"/>
    </row>
    <row r="2661" spans="7:56" s="338" customFormat="1">
      <c r="G2661" s="340"/>
      <c r="L2661" s="340"/>
      <c r="P2661" s="340"/>
      <c r="U2661" s="340"/>
      <c r="V2661" s="340"/>
      <c r="Z2661" s="340"/>
      <c r="AE2661" s="340"/>
      <c r="AI2661" s="340"/>
      <c r="AN2661" s="340"/>
      <c r="AO2661" s="340"/>
      <c r="AS2661" s="340"/>
      <c r="AX2661" s="340"/>
      <c r="BB2661" s="340"/>
      <c r="BD2661" s="339"/>
    </row>
    <row r="2662" spans="7:56" s="338" customFormat="1">
      <c r="G2662" s="340"/>
      <c r="L2662" s="340"/>
      <c r="P2662" s="340"/>
      <c r="U2662" s="340"/>
      <c r="V2662" s="340"/>
      <c r="Z2662" s="340"/>
      <c r="AE2662" s="340"/>
      <c r="AI2662" s="340"/>
      <c r="AN2662" s="340"/>
      <c r="AO2662" s="340"/>
      <c r="AS2662" s="340"/>
      <c r="AX2662" s="340"/>
      <c r="BB2662" s="340"/>
      <c r="BD2662" s="339"/>
    </row>
    <row r="2663" spans="7:56" s="338" customFormat="1">
      <c r="G2663" s="340"/>
      <c r="L2663" s="340"/>
      <c r="P2663" s="340"/>
      <c r="U2663" s="340"/>
      <c r="V2663" s="340"/>
      <c r="Z2663" s="340"/>
      <c r="AE2663" s="340"/>
      <c r="AI2663" s="340"/>
      <c r="AN2663" s="340"/>
      <c r="AO2663" s="340"/>
      <c r="AS2663" s="340"/>
      <c r="AX2663" s="340"/>
      <c r="BB2663" s="340"/>
      <c r="BD2663" s="339"/>
    </row>
    <row r="2664" spans="7:56" s="338" customFormat="1">
      <c r="G2664" s="340"/>
      <c r="L2664" s="340"/>
      <c r="P2664" s="340"/>
      <c r="U2664" s="340"/>
      <c r="V2664" s="340"/>
      <c r="Z2664" s="340"/>
      <c r="AE2664" s="340"/>
      <c r="AI2664" s="340"/>
      <c r="AN2664" s="340"/>
      <c r="AO2664" s="340"/>
      <c r="AS2664" s="340"/>
      <c r="AX2664" s="340"/>
      <c r="BB2664" s="340"/>
      <c r="BD2664" s="339"/>
    </row>
    <row r="2665" spans="7:56" s="338" customFormat="1">
      <c r="G2665" s="340"/>
      <c r="L2665" s="340"/>
      <c r="P2665" s="340"/>
      <c r="U2665" s="340"/>
      <c r="V2665" s="340"/>
      <c r="Z2665" s="340"/>
      <c r="AE2665" s="340"/>
      <c r="AI2665" s="340"/>
      <c r="AN2665" s="340"/>
      <c r="AO2665" s="340"/>
      <c r="AS2665" s="340"/>
      <c r="AX2665" s="340"/>
      <c r="BB2665" s="340"/>
      <c r="BD2665" s="339"/>
    </row>
    <row r="2666" spans="7:56" s="338" customFormat="1">
      <c r="G2666" s="340"/>
      <c r="L2666" s="340"/>
      <c r="P2666" s="340"/>
      <c r="U2666" s="340"/>
      <c r="V2666" s="340"/>
      <c r="Z2666" s="340"/>
      <c r="AE2666" s="340"/>
      <c r="AI2666" s="340"/>
      <c r="AN2666" s="340"/>
      <c r="AO2666" s="340"/>
      <c r="AS2666" s="340"/>
      <c r="AX2666" s="340"/>
      <c r="BB2666" s="340"/>
      <c r="BD2666" s="339"/>
    </row>
    <row r="2667" spans="7:56" s="338" customFormat="1">
      <c r="G2667" s="340"/>
      <c r="L2667" s="340"/>
      <c r="P2667" s="340"/>
      <c r="U2667" s="340"/>
      <c r="V2667" s="340"/>
      <c r="Z2667" s="340"/>
      <c r="AE2667" s="340"/>
      <c r="AI2667" s="340"/>
      <c r="AN2667" s="340"/>
      <c r="AO2667" s="340"/>
      <c r="AS2667" s="340"/>
      <c r="AX2667" s="340"/>
      <c r="BB2667" s="340"/>
      <c r="BD2667" s="339"/>
    </row>
    <row r="2668" spans="7:56" s="338" customFormat="1">
      <c r="G2668" s="340"/>
      <c r="L2668" s="340"/>
      <c r="P2668" s="340"/>
      <c r="U2668" s="340"/>
      <c r="V2668" s="340"/>
      <c r="Z2668" s="340"/>
      <c r="AE2668" s="340"/>
      <c r="AI2668" s="340"/>
      <c r="AN2668" s="340"/>
      <c r="AO2668" s="340"/>
      <c r="AS2668" s="340"/>
      <c r="AX2668" s="340"/>
      <c r="BB2668" s="340"/>
      <c r="BD2668" s="339"/>
    </row>
    <row r="2669" spans="7:56" s="338" customFormat="1">
      <c r="G2669" s="340"/>
      <c r="L2669" s="340"/>
      <c r="P2669" s="340"/>
      <c r="U2669" s="340"/>
      <c r="V2669" s="340"/>
      <c r="Z2669" s="340"/>
      <c r="AE2669" s="340"/>
      <c r="AI2669" s="340"/>
      <c r="AN2669" s="340"/>
      <c r="AO2669" s="340"/>
      <c r="AS2669" s="340"/>
      <c r="AX2669" s="340"/>
      <c r="BB2669" s="340"/>
      <c r="BD2669" s="339"/>
    </row>
    <row r="2670" spans="7:56" s="338" customFormat="1">
      <c r="G2670" s="340"/>
      <c r="L2670" s="340"/>
      <c r="P2670" s="340"/>
      <c r="U2670" s="340"/>
      <c r="V2670" s="340"/>
      <c r="Z2670" s="340"/>
      <c r="AE2670" s="340"/>
      <c r="AI2670" s="340"/>
      <c r="AN2670" s="340"/>
      <c r="AO2670" s="340"/>
      <c r="AS2670" s="340"/>
      <c r="AX2670" s="340"/>
      <c r="BB2670" s="340"/>
      <c r="BD2670" s="339"/>
    </row>
    <row r="2671" spans="7:56" s="338" customFormat="1">
      <c r="G2671" s="340"/>
      <c r="L2671" s="340"/>
      <c r="P2671" s="340"/>
      <c r="U2671" s="340"/>
      <c r="V2671" s="340"/>
      <c r="Z2671" s="340"/>
      <c r="AE2671" s="340"/>
      <c r="AI2671" s="340"/>
      <c r="AN2671" s="340"/>
      <c r="AO2671" s="340"/>
      <c r="AS2671" s="340"/>
      <c r="AX2671" s="340"/>
      <c r="BB2671" s="340"/>
      <c r="BD2671" s="339"/>
    </row>
    <row r="2672" spans="7:56" s="338" customFormat="1">
      <c r="G2672" s="340"/>
      <c r="L2672" s="340"/>
      <c r="P2672" s="340"/>
      <c r="U2672" s="340"/>
      <c r="V2672" s="340"/>
      <c r="Z2672" s="340"/>
      <c r="AE2672" s="340"/>
      <c r="AI2672" s="340"/>
      <c r="AN2672" s="340"/>
      <c r="AO2672" s="340"/>
      <c r="AS2672" s="340"/>
      <c r="AX2672" s="340"/>
      <c r="BB2672" s="340"/>
      <c r="BD2672" s="339"/>
    </row>
    <row r="2673" spans="7:56" s="338" customFormat="1">
      <c r="G2673" s="340"/>
      <c r="L2673" s="340"/>
      <c r="P2673" s="340"/>
      <c r="U2673" s="340"/>
      <c r="V2673" s="340"/>
      <c r="Z2673" s="340"/>
      <c r="AE2673" s="340"/>
      <c r="AI2673" s="340"/>
      <c r="AN2673" s="340"/>
      <c r="AO2673" s="340"/>
      <c r="AS2673" s="340"/>
      <c r="AX2673" s="340"/>
      <c r="BB2673" s="340"/>
      <c r="BD2673" s="339"/>
    </row>
    <row r="2674" spans="7:56" s="338" customFormat="1">
      <c r="G2674" s="340"/>
      <c r="L2674" s="340"/>
      <c r="P2674" s="340"/>
      <c r="U2674" s="340"/>
      <c r="V2674" s="340"/>
      <c r="Z2674" s="340"/>
      <c r="AE2674" s="340"/>
      <c r="AI2674" s="340"/>
      <c r="AN2674" s="340"/>
      <c r="AO2674" s="340"/>
      <c r="AS2674" s="340"/>
      <c r="AX2674" s="340"/>
      <c r="BB2674" s="340"/>
      <c r="BD2674" s="339"/>
    </row>
    <row r="2675" spans="7:56" s="338" customFormat="1">
      <c r="G2675" s="340"/>
      <c r="L2675" s="340"/>
      <c r="P2675" s="340"/>
      <c r="U2675" s="340"/>
      <c r="V2675" s="340"/>
      <c r="Z2675" s="340"/>
      <c r="AE2675" s="340"/>
      <c r="AI2675" s="340"/>
      <c r="AN2675" s="340"/>
      <c r="AO2675" s="340"/>
      <c r="AS2675" s="340"/>
      <c r="AX2675" s="340"/>
      <c r="BB2675" s="340"/>
      <c r="BD2675" s="339"/>
    </row>
    <row r="2676" spans="7:56" s="338" customFormat="1">
      <c r="G2676" s="340"/>
      <c r="L2676" s="340"/>
      <c r="P2676" s="340"/>
      <c r="U2676" s="340"/>
      <c r="V2676" s="340"/>
      <c r="Z2676" s="340"/>
      <c r="AE2676" s="340"/>
      <c r="AI2676" s="340"/>
      <c r="AN2676" s="340"/>
      <c r="AO2676" s="340"/>
      <c r="AS2676" s="340"/>
      <c r="AX2676" s="340"/>
      <c r="BB2676" s="340"/>
      <c r="BD2676" s="339"/>
    </row>
    <row r="2677" spans="7:56" s="338" customFormat="1">
      <c r="G2677" s="340"/>
      <c r="L2677" s="340"/>
      <c r="P2677" s="340"/>
      <c r="U2677" s="340"/>
      <c r="V2677" s="340"/>
      <c r="Z2677" s="340"/>
      <c r="AE2677" s="340"/>
      <c r="AI2677" s="340"/>
      <c r="AN2677" s="340"/>
      <c r="AO2677" s="340"/>
      <c r="AS2677" s="340"/>
      <c r="AX2677" s="340"/>
      <c r="BB2677" s="340"/>
      <c r="BD2677" s="339"/>
    </row>
    <row r="2678" spans="7:56" s="338" customFormat="1">
      <c r="G2678" s="340"/>
      <c r="L2678" s="340"/>
      <c r="P2678" s="340"/>
      <c r="U2678" s="340"/>
      <c r="V2678" s="340"/>
      <c r="Z2678" s="340"/>
      <c r="AE2678" s="340"/>
      <c r="AI2678" s="340"/>
      <c r="AN2678" s="340"/>
      <c r="AO2678" s="340"/>
      <c r="AS2678" s="340"/>
      <c r="AX2678" s="340"/>
      <c r="BB2678" s="340"/>
      <c r="BD2678" s="339"/>
    </row>
    <row r="2679" spans="7:56" s="338" customFormat="1">
      <c r="G2679" s="340"/>
      <c r="L2679" s="340"/>
      <c r="P2679" s="340"/>
      <c r="U2679" s="340"/>
      <c r="V2679" s="340"/>
      <c r="Z2679" s="340"/>
      <c r="AE2679" s="340"/>
      <c r="AI2679" s="340"/>
      <c r="AN2679" s="340"/>
      <c r="AO2679" s="340"/>
      <c r="AS2679" s="340"/>
      <c r="AX2679" s="340"/>
      <c r="BB2679" s="340"/>
      <c r="BD2679" s="339"/>
    </row>
    <row r="2680" spans="7:56" s="338" customFormat="1">
      <c r="G2680" s="340"/>
      <c r="L2680" s="340"/>
      <c r="P2680" s="340"/>
      <c r="U2680" s="340"/>
      <c r="V2680" s="340"/>
      <c r="Z2680" s="340"/>
      <c r="AE2680" s="340"/>
      <c r="AI2680" s="340"/>
      <c r="AN2680" s="340"/>
      <c r="AO2680" s="340"/>
      <c r="AS2680" s="340"/>
      <c r="AX2680" s="340"/>
      <c r="BB2680" s="340"/>
      <c r="BD2680" s="339"/>
    </row>
    <row r="2681" spans="7:56" s="338" customFormat="1">
      <c r="G2681" s="340"/>
      <c r="L2681" s="340"/>
      <c r="P2681" s="340"/>
      <c r="U2681" s="340"/>
      <c r="V2681" s="340"/>
      <c r="Z2681" s="340"/>
      <c r="AE2681" s="340"/>
      <c r="AI2681" s="340"/>
      <c r="AN2681" s="340"/>
      <c r="AO2681" s="340"/>
      <c r="AS2681" s="340"/>
      <c r="AX2681" s="340"/>
      <c r="BB2681" s="340"/>
      <c r="BD2681" s="339"/>
    </row>
    <row r="2682" spans="7:56" s="338" customFormat="1">
      <c r="G2682" s="340"/>
      <c r="L2682" s="340"/>
      <c r="P2682" s="340"/>
      <c r="U2682" s="340"/>
      <c r="V2682" s="340"/>
      <c r="Z2682" s="340"/>
      <c r="AE2682" s="340"/>
      <c r="AI2682" s="340"/>
      <c r="AN2682" s="340"/>
      <c r="AO2682" s="340"/>
      <c r="AS2682" s="340"/>
      <c r="AX2682" s="340"/>
      <c r="BB2682" s="340"/>
      <c r="BD2682" s="339"/>
    </row>
    <row r="2683" spans="7:56" s="338" customFormat="1">
      <c r="G2683" s="340"/>
      <c r="L2683" s="340"/>
      <c r="P2683" s="340"/>
      <c r="U2683" s="340"/>
      <c r="V2683" s="340"/>
      <c r="Z2683" s="340"/>
      <c r="AE2683" s="340"/>
      <c r="AI2683" s="340"/>
      <c r="AN2683" s="340"/>
      <c r="AO2683" s="340"/>
      <c r="AS2683" s="340"/>
      <c r="AX2683" s="340"/>
      <c r="BB2683" s="340"/>
      <c r="BD2683" s="339"/>
    </row>
    <row r="2684" spans="7:56" s="338" customFormat="1">
      <c r="G2684" s="340"/>
      <c r="L2684" s="340"/>
      <c r="P2684" s="340"/>
      <c r="U2684" s="340"/>
      <c r="V2684" s="340"/>
      <c r="Z2684" s="340"/>
      <c r="AE2684" s="340"/>
      <c r="AI2684" s="340"/>
      <c r="AN2684" s="340"/>
      <c r="AO2684" s="340"/>
      <c r="AS2684" s="340"/>
      <c r="AX2684" s="340"/>
      <c r="BB2684" s="340"/>
      <c r="BD2684" s="339"/>
    </row>
    <row r="2685" spans="7:56" s="338" customFormat="1">
      <c r="G2685" s="340"/>
      <c r="L2685" s="340"/>
      <c r="P2685" s="340"/>
      <c r="U2685" s="340"/>
      <c r="V2685" s="340"/>
      <c r="Z2685" s="340"/>
      <c r="AE2685" s="340"/>
      <c r="AI2685" s="340"/>
      <c r="AN2685" s="340"/>
      <c r="AO2685" s="340"/>
      <c r="AS2685" s="340"/>
      <c r="AX2685" s="340"/>
      <c r="BB2685" s="340"/>
      <c r="BD2685" s="339"/>
    </row>
    <row r="2686" spans="7:56" s="338" customFormat="1">
      <c r="G2686" s="340"/>
      <c r="L2686" s="340"/>
      <c r="P2686" s="340"/>
      <c r="U2686" s="340"/>
      <c r="V2686" s="340"/>
      <c r="Z2686" s="340"/>
      <c r="AE2686" s="340"/>
      <c r="AI2686" s="340"/>
      <c r="AN2686" s="340"/>
      <c r="AO2686" s="340"/>
      <c r="AS2686" s="340"/>
      <c r="AX2686" s="340"/>
      <c r="BB2686" s="340"/>
      <c r="BD2686" s="339"/>
    </row>
    <row r="2687" spans="7:56" s="338" customFormat="1">
      <c r="G2687" s="340"/>
      <c r="L2687" s="340"/>
      <c r="P2687" s="340"/>
      <c r="U2687" s="340"/>
      <c r="V2687" s="340"/>
      <c r="Z2687" s="340"/>
      <c r="AE2687" s="340"/>
      <c r="AI2687" s="340"/>
      <c r="AN2687" s="340"/>
      <c r="AO2687" s="340"/>
      <c r="AS2687" s="340"/>
      <c r="AX2687" s="340"/>
      <c r="BB2687" s="340"/>
      <c r="BD2687" s="339"/>
    </row>
    <row r="2688" spans="7:56" s="338" customFormat="1">
      <c r="G2688" s="340"/>
      <c r="L2688" s="340"/>
      <c r="P2688" s="340"/>
      <c r="U2688" s="340"/>
      <c r="V2688" s="340"/>
      <c r="Z2688" s="340"/>
      <c r="AE2688" s="340"/>
      <c r="AI2688" s="340"/>
      <c r="AN2688" s="340"/>
      <c r="AO2688" s="340"/>
      <c r="AS2688" s="340"/>
      <c r="AX2688" s="340"/>
      <c r="BB2688" s="340"/>
      <c r="BD2688" s="339"/>
    </row>
    <row r="2689" spans="7:56" s="338" customFormat="1">
      <c r="G2689" s="340"/>
      <c r="L2689" s="340"/>
      <c r="P2689" s="340"/>
      <c r="U2689" s="340"/>
      <c r="V2689" s="340"/>
      <c r="Z2689" s="340"/>
      <c r="AE2689" s="340"/>
      <c r="AI2689" s="340"/>
      <c r="AN2689" s="340"/>
      <c r="AO2689" s="340"/>
      <c r="AS2689" s="340"/>
      <c r="AX2689" s="340"/>
      <c r="BB2689" s="340"/>
      <c r="BD2689" s="339"/>
    </row>
    <row r="2690" spans="7:56" s="338" customFormat="1">
      <c r="G2690" s="340"/>
      <c r="L2690" s="340"/>
      <c r="P2690" s="340"/>
      <c r="U2690" s="340"/>
      <c r="V2690" s="340"/>
      <c r="Z2690" s="340"/>
      <c r="AE2690" s="340"/>
      <c r="AI2690" s="340"/>
      <c r="AN2690" s="340"/>
      <c r="AO2690" s="340"/>
      <c r="AS2690" s="340"/>
      <c r="AX2690" s="340"/>
      <c r="BB2690" s="340"/>
      <c r="BD2690" s="339"/>
    </row>
    <row r="2691" spans="7:56" s="338" customFormat="1">
      <c r="G2691" s="340"/>
      <c r="L2691" s="340"/>
      <c r="P2691" s="340"/>
      <c r="U2691" s="340"/>
      <c r="V2691" s="340"/>
      <c r="Z2691" s="340"/>
      <c r="AE2691" s="340"/>
      <c r="AI2691" s="340"/>
      <c r="AN2691" s="340"/>
      <c r="AO2691" s="340"/>
      <c r="AS2691" s="340"/>
      <c r="AX2691" s="340"/>
      <c r="BB2691" s="340"/>
      <c r="BD2691" s="339"/>
    </row>
    <row r="2692" spans="7:56" s="338" customFormat="1">
      <c r="G2692" s="340"/>
      <c r="L2692" s="340"/>
      <c r="P2692" s="340"/>
      <c r="U2692" s="340"/>
      <c r="V2692" s="340"/>
      <c r="Z2692" s="340"/>
      <c r="AE2692" s="340"/>
      <c r="AI2692" s="340"/>
      <c r="AN2692" s="340"/>
      <c r="AO2692" s="340"/>
      <c r="AS2692" s="340"/>
      <c r="AX2692" s="340"/>
      <c r="BB2692" s="340"/>
      <c r="BD2692" s="339"/>
    </row>
    <row r="2693" spans="7:56" s="338" customFormat="1">
      <c r="G2693" s="340"/>
      <c r="L2693" s="340"/>
      <c r="P2693" s="340"/>
      <c r="U2693" s="340"/>
      <c r="V2693" s="340"/>
      <c r="Z2693" s="340"/>
      <c r="AE2693" s="340"/>
      <c r="AI2693" s="340"/>
      <c r="AN2693" s="340"/>
      <c r="AO2693" s="340"/>
      <c r="AS2693" s="340"/>
      <c r="AX2693" s="340"/>
      <c r="BB2693" s="340"/>
      <c r="BD2693" s="339"/>
    </row>
    <row r="2694" spans="7:56" s="338" customFormat="1">
      <c r="G2694" s="340"/>
      <c r="L2694" s="340"/>
      <c r="P2694" s="340"/>
      <c r="U2694" s="340"/>
      <c r="V2694" s="340"/>
      <c r="Z2694" s="340"/>
      <c r="AE2694" s="340"/>
      <c r="AI2694" s="340"/>
      <c r="AN2694" s="340"/>
      <c r="AO2694" s="340"/>
      <c r="AS2694" s="340"/>
      <c r="AX2694" s="340"/>
      <c r="BB2694" s="340"/>
      <c r="BD2694" s="339"/>
    </row>
    <row r="2695" spans="7:56" s="338" customFormat="1">
      <c r="G2695" s="340"/>
      <c r="L2695" s="340"/>
      <c r="P2695" s="340"/>
      <c r="U2695" s="340"/>
      <c r="V2695" s="340"/>
      <c r="Z2695" s="340"/>
      <c r="AE2695" s="340"/>
      <c r="AI2695" s="340"/>
      <c r="AN2695" s="340"/>
      <c r="AO2695" s="340"/>
      <c r="AS2695" s="340"/>
      <c r="AX2695" s="340"/>
      <c r="BB2695" s="340"/>
      <c r="BD2695" s="339"/>
    </row>
    <row r="2696" spans="7:56" s="338" customFormat="1">
      <c r="G2696" s="340"/>
      <c r="L2696" s="340"/>
      <c r="P2696" s="340"/>
      <c r="U2696" s="340"/>
      <c r="V2696" s="340"/>
      <c r="Z2696" s="340"/>
      <c r="AE2696" s="340"/>
      <c r="AI2696" s="340"/>
      <c r="AN2696" s="340"/>
      <c r="AO2696" s="340"/>
      <c r="AS2696" s="340"/>
      <c r="AX2696" s="340"/>
      <c r="BB2696" s="340"/>
      <c r="BD2696" s="339"/>
    </row>
    <row r="2697" spans="7:56" s="338" customFormat="1">
      <c r="G2697" s="340"/>
      <c r="L2697" s="340"/>
      <c r="P2697" s="340"/>
      <c r="U2697" s="340"/>
      <c r="V2697" s="340"/>
      <c r="Z2697" s="340"/>
      <c r="AE2697" s="340"/>
      <c r="AI2697" s="340"/>
      <c r="AN2697" s="340"/>
      <c r="AO2697" s="340"/>
      <c r="AS2697" s="340"/>
      <c r="AX2697" s="340"/>
      <c r="BB2697" s="340"/>
      <c r="BD2697" s="339"/>
    </row>
    <row r="2698" spans="7:56" s="338" customFormat="1">
      <c r="G2698" s="340"/>
      <c r="L2698" s="340"/>
      <c r="P2698" s="340"/>
      <c r="U2698" s="340"/>
      <c r="V2698" s="340"/>
      <c r="Z2698" s="340"/>
      <c r="AE2698" s="340"/>
      <c r="AI2698" s="340"/>
      <c r="AN2698" s="340"/>
      <c r="AO2698" s="340"/>
      <c r="AS2698" s="340"/>
      <c r="AX2698" s="340"/>
      <c r="BB2698" s="340"/>
      <c r="BD2698" s="339"/>
    </row>
    <row r="2699" spans="7:56" s="338" customFormat="1">
      <c r="G2699" s="340"/>
      <c r="L2699" s="340"/>
      <c r="P2699" s="340"/>
      <c r="U2699" s="340"/>
      <c r="V2699" s="340"/>
      <c r="Z2699" s="340"/>
      <c r="AE2699" s="340"/>
      <c r="AI2699" s="340"/>
      <c r="AN2699" s="340"/>
      <c r="AO2699" s="340"/>
      <c r="AS2699" s="340"/>
      <c r="AX2699" s="340"/>
      <c r="BB2699" s="340"/>
      <c r="BD2699" s="339"/>
    </row>
    <row r="2700" spans="7:56" s="338" customFormat="1">
      <c r="G2700" s="340"/>
      <c r="L2700" s="340"/>
      <c r="P2700" s="340"/>
      <c r="U2700" s="340"/>
      <c r="V2700" s="340"/>
      <c r="Z2700" s="340"/>
      <c r="AE2700" s="340"/>
      <c r="AI2700" s="340"/>
      <c r="AN2700" s="340"/>
      <c r="AO2700" s="340"/>
      <c r="AS2700" s="340"/>
      <c r="AX2700" s="340"/>
      <c r="BB2700" s="340"/>
      <c r="BD2700" s="339"/>
    </row>
    <row r="2701" spans="7:56" s="338" customFormat="1">
      <c r="G2701" s="340"/>
      <c r="L2701" s="340"/>
      <c r="P2701" s="340"/>
      <c r="U2701" s="340"/>
      <c r="V2701" s="340"/>
      <c r="Z2701" s="340"/>
      <c r="AE2701" s="340"/>
      <c r="AI2701" s="340"/>
      <c r="AN2701" s="340"/>
      <c r="AO2701" s="340"/>
      <c r="AS2701" s="340"/>
      <c r="AX2701" s="340"/>
      <c r="BB2701" s="340"/>
      <c r="BD2701" s="339"/>
    </row>
    <row r="2702" spans="7:56" s="338" customFormat="1">
      <c r="G2702" s="340"/>
      <c r="L2702" s="340"/>
      <c r="P2702" s="340"/>
      <c r="U2702" s="340"/>
      <c r="V2702" s="340"/>
      <c r="Z2702" s="340"/>
      <c r="AE2702" s="340"/>
      <c r="AI2702" s="340"/>
      <c r="AN2702" s="340"/>
      <c r="AO2702" s="340"/>
      <c r="AS2702" s="340"/>
      <c r="AX2702" s="340"/>
      <c r="BB2702" s="340"/>
      <c r="BD2702" s="339"/>
    </row>
    <row r="2703" spans="7:56" s="338" customFormat="1">
      <c r="G2703" s="340"/>
      <c r="L2703" s="340"/>
      <c r="P2703" s="340"/>
      <c r="U2703" s="340"/>
      <c r="V2703" s="340"/>
      <c r="Z2703" s="340"/>
      <c r="AE2703" s="340"/>
      <c r="AI2703" s="340"/>
      <c r="AN2703" s="340"/>
      <c r="AO2703" s="340"/>
      <c r="AS2703" s="340"/>
      <c r="AX2703" s="340"/>
      <c r="BB2703" s="340"/>
      <c r="BD2703" s="339"/>
    </row>
    <row r="2704" spans="7:56" s="338" customFormat="1">
      <c r="G2704" s="340"/>
      <c r="L2704" s="340"/>
      <c r="P2704" s="340"/>
      <c r="U2704" s="340"/>
      <c r="V2704" s="340"/>
      <c r="Z2704" s="340"/>
      <c r="AE2704" s="340"/>
      <c r="AI2704" s="340"/>
      <c r="AN2704" s="340"/>
      <c r="AO2704" s="340"/>
      <c r="AS2704" s="340"/>
      <c r="AX2704" s="340"/>
      <c r="BB2704" s="340"/>
      <c r="BD2704" s="339"/>
    </row>
    <row r="2705" spans="7:56" s="338" customFormat="1">
      <c r="G2705" s="340"/>
      <c r="L2705" s="340"/>
      <c r="P2705" s="340"/>
      <c r="U2705" s="340"/>
      <c r="V2705" s="340"/>
      <c r="Z2705" s="340"/>
      <c r="AE2705" s="340"/>
      <c r="AI2705" s="340"/>
      <c r="AN2705" s="340"/>
      <c r="AO2705" s="340"/>
      <c r="AS2705" s="340"/>
      <c r="AX2705" s="340"/>
      <c r="BB2705" s="340"/>
      <c r="BD2705" s="339"/>
    </row>
    <row r="2706" spans="7:56" s="338" customFormat="1">
      <c r="G2706" s="340"/>
      <c r="L2706" s="340"/>
      <c r="P2706" s="340"/>
      <c r="U2706" s="340"/>
      <c r="V2706" s="340"/>
      <c r="Z2706" s="340"/>
      <c r="AE2706" s="340"/>
      <c r="AI2706" s="340"/>
      <c r="AN2706" s="340"/>
      <c r="AO2706" s="340"/>
      <c r="AS2706" s="340"/>
      <c r="AX2706" s="340"/>
      <c r="BB2706" s="340"/>
      <c r="BD2706" s="339"/>
    </row>
    <row r="2707" spans="7:56" s="338" customFormat="1">
      <c r="G2707" s="340"/>
      <c r="L2707" s="340"/>
      <c r="P2707" s="340"/>
      <c r="U2707" s="340"/>
      <c r="V2707" s="340"/>
      <c r="Z2707" s="340"/>
      <c r="AE2707" s="340"/>
      <c r="AI2707" s="340"/>
      <c r="AN2707" s="340"/>
      <c r="AO2707" s="340"/>
      <c r="AS2707" s="340"/>
      <c r="AX2707" s="340"/>
      <c r="BB2707" s="340"/>
      <c r="BD2707" s="339"/>
    </row>
    <row r="2708" spans="7:56" s="338" customFormat="1">
      <c r="G2708" s="340"/>
      <c r="L2708" s="340"/>
      <c r="P2708" s="340"/>
      <c r="U2708" s="340"/>
      <c r="V2708" s="340"/>
      <c r="Z2708" s="340"/>
      <c r="AE2708" s="340"/>
      <c r="AI2708" s="340"/>
      <c r="AN2708" s="340"/>
      <c r="AO2708" s="340"/>
      <c r="AS2708" s="340"/>
      <c r="AX2708" s="340"/>
      <c r="BB2708" s="340"/>
      <c r="BD2708" s="339"/>
    </row>
    <row r="2709" spans="7:56" s="338" customFormat="1">
      <c r="G2709" s="340"/>
      <c r="L2709" s="340"/>
      <c r="P2709" s="340"/>
      <c r="U2709" s="340"/>
      <c r="V2709" s="340"/>
      <c r="Z2709" s="340"/>
      <c r="AE2709" s="340"/>
      <c r="AI2709" s="340"/>
      <c r="AN2709" s="340"/>
      <c r="AO2709" s="340"/>
      <c r="AS2709" s="340"/>
      <c r="AX2709" s="340"/>
      <c r="BB2709" s="340"/>
      <c r="BD2709" s="339"/>
    </row>
    <row r="2710" spans="7:56" s="338" customFormat="1">
      <c r="G2710" s="340"/>
      <c r="L2710" s="340"/>
      <c r="P2710" s="340"/>
      <c r="U2710" s="340"/>
      <c r="V2710" s="340"/>
      <c r="Z2710" s="340"/>
      <c r="AE2710" s="340"/>
      <c r="AI2710" s="340"/>
      <c r="AN2710" s="340"/>
      <c r="AO2710" s="340"/>
      <c r="AS2710" s="340"/>
      <c r="AX2710" s="340"/>
      <c r="BB2710" s="340"/>
      <c r="BD2710" s="339"/>
    </row>
    <row r="2711" spans="7:56" s="338" customFormat="1">
      <c r="G2711" s="340"/>
      <c r="L2711" s="340"/>
      <c r="P2711" s="340"/>
      <c r="U2711" s="340"/>
      <c r="V2711" s="340"/>
      <c r="Z2711" s="340"/>
      <c r="AE2711" s="340"/>
      <c r="AI2711" s="340"/>
      <c r="AN2711" s="340"/>
      <c r="AO2711" s="340"/>
      <c r="AS2711" s="340"/>
      <c r="AX2711" s="340"/>
      <c r="BB2711" s="340"/>
      <c r="BD2711" s="339"/>
    </row>
    <row r="2712" spans="7:56" s="338" customFormat="1">
      <c r="G2712" s="340"/>
      <c r="L2712" s="340"/>
      <c r="P2712" s="340"/>
      <c r="U2712" s="340"/>
      <c r="V2712" s="340"/>
      <c r="Z2712" s="340"/>
      <c r="AE2712" s="340"/>
      <c r="AI2712" s="340"/>
      <c r="AN2712" s="340"/>
      <c r="AO2712" s="340"/>
      <c r="AS2712" s="340"/>
      <c r="AX2712" s="340"/>
      <c r="BB2712" s="340"/>
      <c r="BD2712" s="339"/>
    </row>
    <row r="2713" spans="7:56" s="338" customFormat="1">
      <c r="G2713" s="340"/>
      <c r="L2713" s="340"/>
      <c r="P2713" s="340"/>
      <c r="U2713" s="340"/>
      <c r="V2713" s="340"/>
      <c r="Z2713" s="340"/>
      <c r="AE2713" s="340"/>
      <c r="AI2713" s="340"/>
      <c r="AN2713" s="340"/>
      <c r="AO2713" s="340"/>
      <c r="AS2713" s="340"/>
      <c r="AX2713" s="340"/>
      <c r="BB2713" s="340"/>
      <c r="BD2713" s="339"/>
    </row>
    <row r="2714" spans="7:56" s="338" customFormat="1">
      <c r="G2714" s="340"/>
      <c r="L2714" s="340"/>
      <c r="P2714" s="340"/>
      <c r="U2714" s="340"/>
      <c r="V2714" s="340"/>
      <c r="Z2714" s="340"/>
      <c r="AE2714" s="340"/>
      <c r="AI2714" s="340"/>
      <c r="AN2714" s="340"/>
      <c r="AO2714" s="340"/>
      <c r="AS2714" s="340"/>
      <c r="AX2714" s="340"/>
      <c r="BB2714" s="340"/>
      <c r="BD2714" s="339"/>
    </row>
    <row r="2715" spans="7:56" s="338" customFormat="1">
      <c r="G2715" s="340"/>
      <c r="L2715" s="340"/>
      <c r="P2715" s="340"/>
      <c r="U2715" s="340"/>
      <c r="V2715" s="340"/>
      <c r="Z2715" s="340"/>
      <c r="AE2715" s="340"/>
      <c r="AI2715" s="340"/>
      <c r="AN2715" s="340"/>
      <c r="AO2715" s="340"/>
      <c r="AS2715" s="340"/>
      <c r="AX2715" s="340"/>
      <c r="BB2715" s="340"/>
      <c r="BD2715" s="339"/>
    </row>
    <row r="2716" spans="7:56" s="338" customFormat="1">
      <c r="G2716" s="340"/>
      <c r="L2716" s="340"/>
      <c r="P2716" s="340"/>
      <c r="U2716" s="340"/>
      <c r="V2716" s="340"/>
      <c r="Z2716" s="340"/>
      <c r="AE2716" s="340"/>
      <c r="AI2716" s="340"/>
      <c r="AN2716" s="340"/>
      <c r="AO2716" s="340"/>
      <c r="AS2716" s="340"/>
      <c r="AX2716" s="340"/>
      <c r="BB2716" s="340"/>
      <c r="BD2716" s="339"/>
    </row>
    <row r="2717" spans="7:56" s="338" customFormat="1">
      <c r="G2717" s="340"/>
      <c r="L2717" s="340"/>
      <c r="P2717" s="340"/>
      <c r="U2717" s="340"/>
      <c r="V2717" s="340"/>
      <c r="Z2717" s="340"/>
      <c r="AE2717" s="340"/>
      <c r="AI2717" s="340"/>
      <c r="AN2717" s="340"/>
      <c r="AO2717" s="340"/>
      <c r="AS2717" s="340"/>
      <c r="AX2717" s="340"/>
      <c r="BB2717" s="340"/>
      <c r="BD2717" s="339"/>
    </row>
    <row r="2718" spans="7:56" s="338" customFormat="1">
      <c r="G2718" s="340"/>
      <c r="L2718" s="340"/>
      <c r="P2718" s="340"/>
      <c r="U2718" s="340"/>
      <c r="V2718" s="340"/>
      <c r="Z2718" s="340"/>
      <c r="AE2718" s="340"/>
      <c r="AI2718" s="340"/>
      <c r="AN2718" s="340"/>
      <c r="AO2718" s="340"/>
      <c r="AS2718" s="340"/>
      <c r="AX2718" s="340"/>
      <c r="BB2718" s="340"/>
      <c r="BD2718" s="339"/>
    </row>
    <row r="2719" spans="7:56" s="338" customFormat="1">
      <c r="G2719" s="340"/>
      <c r="L2719" s="340"/>
      <c r="P2719" s="340"/>
      <c r="U2719" s="340"/>
      <c r="V2719" s="340"/>
      <c r="Z2719" s="340"/>
      <c r="AE2719" s="340"/>
      <c r="AI2719" s="340"/>
      <c r="AN2719" s="340"/>
      <c r="AO2719" s="340"/>
      <c r="AS2719" s="340"/>
      <c r="AX2719" s="340"/>
      <c r="BB2719" s="340"/>
      <c r="BD2719" s="339"/>
    </row>
    <row r="2720" spans="7:56" s="338" customFormat="1">
      <c r="G2720" s="340"/>
      <c r="L2720" s="340"/>
      <c r="P2720" s="340"/>
      <c r="U2720" s="340"/>
      <c r="V2720" s="340"/>
      <c r="Z2720" s="340"/>
      <c r="AE2720" s="340"/>
      <c r="AI2720" s="340"/>
      <c r="AN2720" s="340"/>
      <c r="AO2720" s="340"/>
      <c r="AS2720" s="340"/>
      <c r="AX2720" s="340"/>
      <c r="BB2720" s="340"/>
      <c r="BD2720" s="339"/>
    </row>
    <row r="2721" spans="7:56" s="338" customFormat="1">
      <c r="G2721" s="340"/>
      <c r="L2721" s="340"/>
      <c r="P2721" s="340"/>
      <c r="U2721" s="340"/>
      <c r="V2721" s="340"/>
      <c r="Z2721" s="340"/>
      <c r="AE2721" s="340"/>
      <c r="AI2721" s="340"/>
      <c r="AN2721" s="340"/>
      <c r="AO2721" s="340"/>
      <c r="AS2721" s="340"/>
      <c r="AX2721" s="340"/>
      <c r="BB2721" s="340"/>
      <c r="BD2721" s="339"/>
    </row>
    <row r="2722" spans="7:56" s="338" customFormat="1">
      <c r="G2722" s="340"/>
      <c r="L2722" s="340"/>
      <c r="P2722" s="340"/>
      <c r="U2722" s="340"/>
      <c r="V2722" s="340"/>
      <c r="Z2722" s="340"/>
      <c r="AE2722" s="340"/>
      <c r="AI2722" s="340"/>
      <c r="AN2722" s="340"/>
      <c r="AO2722" s="340"/>
      <c r="AS2722" s="340"/>
      <c r="AX2722" s="340"/>
      <c r="BB2722" s="340"/>
      <c r="BD2722" s="339"/>
    </row>
    <row r="2723" spans="7:56" s="338" customFormat="1">
      <c r="G2723" s="340"/>
      <c r="L2723" s="340"/>
      <c r="P2723" s="340"/>
      <c r="U2723" s="340"/>
      <c r="V2723" s="340"/>
      <c r="Z2723" s="340"/>
      <c r="AE2723" s="340"/>
      <c r="AI2723" s="340"/>
      <c r="AN2723" s="340"/>
      <c r="AO2723" s="340"/>
      <c r="AS2723" s="340"/>
      <c r="AX2723" s="340"/>
      <c r="BB2723" s="340"/>
      <c r="BD2723" s="339"/>
    </row>
    <row r="2724" spans="7:56" s="338" customFormat="1">
      <c r="G2724" s="340"/>
      <c r="L2724" s="340"/>
      <c r="P2724" s="340"/>
      <c r="U2724" s="340"/>
      <c r="V2724" s="340"/>
      <c r="Z2724" s="340"/>
      <c r="AE2724" s="340"/>
      <c r="AI2724" s="340"/>
      <c r="AN2724" s="340"/>
      <c r="AO2724" s="340"/>
      <c r="AS2724" s="340"/>
      <c r="AX2724" s="340"/>
      <c r="BB2724" s="340"/>
      <c r="BD2724" s="339"/>
    </row>
    <row r="2725" spans="7:56" s="338" customFormat="1">
      <c r="G2725" s="340"/>
      <c r="L2725" s="340"/>
      <c r="P2725" s="340"/>
      <c r="U2725" s="340"/>
      <c r="V2725" s="340"/>
      <c r="Z2725" s="340"/>
      <c r="AE2725" s="340"/>
      <c r="AI2725" s="340"/>
      <c r="AN2725" s="340"/>
      <c r="AO2725" s="340"/>
      <c r="AS2725" s="340"/>
      <c r="AX2725" s="340"/>
      <c r="BB2725" s="340"/>
      <c r="BD2725" s="339"/>
    </row>
    <row r="2726" spans="7:56" s="338" customFormat="1">
      <c r="G2726" s="340"/>
      <c r="L2726" s="340"/>
      <c r="P2726" s="340"/>
      <c r="U2726" s="340"/>
      <c r="V2726" s="340"/>
      <c r="Z2726" s="340"/>
      <c r="AE2726" s="340"/>
      <c r="AI2726" s="340"/>
      <c r="AN2726" s="340"/>
      <c r="AO2726" s="340"/>
      <c r="AS2726" s="340"/>
      <c r="AX2726" s="340"/>
      <c r="BB2726" s="340"/>
      <c r="BD2726" s="339"/>
    </row>
    <row r="2727" spans="7:56" s="338" customFormat="1">
      <c r="G2727" s="340"/>
      <c r="L2727" s="340"/>
      <c r="P2727" s="340"/>
      <c r="U2727" s="340"/>
      <c r="V2727" s="340"/>
      <c r="Z2727" s="340"/>
      <c r="AE2727" s="340"/>
      <c r="AI2727" s="340"/>
      <c r="AN2727" s="340"/>
      <c r="AO2727" s="340"/>
      <c r="AS2727" s="340"/>
      <c r="AX2727" s="340"/>
      <c r="BB2727" s="340"/>
      <c r="BD2727" s="339"/>
    </row>
    <row r="2728" spans="7:56" s="338" customFormat="1">
      <c r="G2728" s="340"/>
      <c r="L2728" s="340"/>
      <c r="P2728" s="340"/>
      <c r="U2728" s="340"/>
      <c r="V2728" s="340"/>
      <c r="Z2728" s="340"/>
      <c r="AE2728" s="340"/>
      <c r="AI2728" s="340"/>
      <c r="AN2728" s="340"/>
      <c r="AO2728" s="340"/>
      <c r="AS2728" s="340"/>
      <c r="AX2728" s="340"/>
      <c r="BB2728" s="340"/>
      <c r="BD2728" s="339"/>
    </row>
    <row r="2729" spans="7:56" s="338" customFormat="1">
      <c r="G2729" s="340"/>
      <c r="L2729" s="340"/>
      <c r="P2729" s="340"/>
      <c r="U2729" s="340"/>
      <c r="V2729" s="340"/>
      <c r="Z2729" s="340"/>
      <c r="AE2729" s="340"/>
      <c r="AI2729" s="340"/>
      <c r="AN2729" s="340"/>
      <c r="AO2729" s="340"/>
      <c r="AS2729" s="340"/>
      <c r="AX2729" s="340"/>
      <c r="BB2729" s="340"/>
      <c r="BD2729" s="339"/>
    </row>
    <row r="2730" spans="7:56" s="338" customFormat="1">
      <c r="G2730" s="340"/>
      <c r="L2730" s="340"/>
      <c r="P2730" s="340"/>
      <c r="U2730" s="340"/>
      <c r="V2730" s="340"/>
      <c r="Z2730" s="340"/>
      <c r="AE2730" s="340"/>
      <c r="AI2730" s="340"/>
      <c r="AN2730" s="340"/>
      <c r="AO2730" s="340"/>
      <c r="AS2730" s="340"/>
      <c r="AX2730" s="340"/>
      <c r="BB2730" s="340"/>
      <c r="BD2730" s="339"/>
    </row>
    <row r="2731" spans="7:56" s="338" customFormat="1">
      <c r="G2731" s="340"/>
      <c r="L2731" s="340"/>
      <c r="P2731" s="340"/>
      <c r="U2731" s="340"/>
      <c r="V2731" s="340"/>
      <c r="Z2731" s="340"/>
      <c r="AE2731" s="340"/>
      <c r="AI2731" s="340"/>
      <c r="AN2731" s="340"/>
      <c r="AO2731" s="340"/>
      <c r="AS2731" s="340"/>
      <c r="AX2731" s="340"/>
      <c r="BB2731" s="340"/>
      <c r="BD2731" s="339"/>
    </row>
    <row r="2732" spans="7:56" s="338" customFormat="1">
      <c r="G2732" s="340"/>
      <c r="L2732" s="340"/>
      <c r="P2732" s="340"/>
      <c r="U2732" s="340"/>
      <c r="V2732" s="340"/>
      <c r="Z2732" s="340"/>
      <c r="AE2732" s="340"/>
      <c r="AI2732" s="340"/>
      <c r="AN2732" s="340"/>
      <c r="AO2732" s="340"/>
      <c r="AS2732" s="340"/>
      <c r="AX2732" s="340"/>
      <c r="BB2732" s="340"/>
      <c r="BD2732" s="339"/>
    </row>
    <row r="2733" spans="7:56" s="338" customFormat="1">
      <c r="G2733" s="340"/>
      <c r="L2733" s="340"/>
      <c r="P2733" s="340"/>
      <c r="U2733" s="340"/>
      <c r="V2733" s="340"/>
      <c r="Z2733" s="340"/>
      <c r="AE2733" s="340"/>
      <c r="AI2733" s="340"/>
      <c r="AN2733" s="340"/>
      <c r="AO2733" s="340"/>
      <c r="AS2733" s="340"/>
      <c r="AX2733" s="340"/>
      <c r="BB2733" s="340"/>
      <c r="BD2733" s="339"/>
    </row>
    <row r="2734" spans="7:56" s="338" customFormat="1">
      <c r="G2734" s="340"/>
      <c r="L2734" s="340"/>
      <c r="P2734" s="340"/>
      <c r="U2734" s="340"/>
      <c r="V2734" s="340"/>
      <c r="Z2734" s="340"/>
      <c r="AE2734" s="340"/>
      <c r="AI2734" s="340"/>
      <c r="AN2734" s="340"/>
      <c r="AO2734" s="340"/>
      <c r="AS2734" s="340"/>
      <c r="AX2734" s="340"/>
      <c r="BB2734" s="340"/>
      <c r="BD2734" s="339"/>
    </row>
    <row r="2735" spans="7:56" s="338" customFormat="1">
      <c r="G2735" s="340"/>
      <c r="L2735" s="340"/>
      <c r="P2735" s="340"/>
      <c r="U2735" s="340"/>
      <c r="V2735" s="340"/>
      <c r="Z2735" s="340"/>
      <c r="AE2735" s="340"/>
      <c r="AI2735" s="340"/>
      <c r="AN2735" s="340"/>
      <c r="AO2735" s="340"/>
      <c r="AS2735" s="340"/>
      <c r="AX2735" s="340"/>
      <c r="BB2735" s="340"/>
      <c r="BD2735" s="339"/>
    </row>
    <row r="2736" spans="7:56" s="338" customFormat="1">
      <c r="G2736" s="340"/>
      <c r="L2736" s="340"/>
      <c r="P2736" s="340"/>
      <c r="U2736" s="340"/>
      <c r="V2736" s="340"/>
      <c r="Z2736" s="340"/>
      <c r="AE2736" s="340"/>
      <c r="AI2736" s="340"/>
      <c r="AN2736" s="340"/>
      <c r="AO2736" s="340"/>
      <c r="AS2736" s="340"/>
      <c r="AX2736" s="340"/>
      <c r="BB2736" s="340"/>
      <c r="BD2736" s="339"/>
    </row>
    <row r="2737" spans="7:56" s="338" customFormat="1">
      <c r="G2737" s="340"/>
      <c r="L2737" s="340"/>
      <c r="P2737" s="340"/>
      <c r="U2737" s="340"/>
      <c r="V2737" s="340"/>
      <c r="Z2737" s="340"/>
      <c r="AE2737" s="340"/>
      <c r="AI2737" s="340"/>
      <c r="AN2737" s="340"/>
      <c r="AO2737" s="340"/>
      <c r="AS2737" s="340"/>
      <c r="AX2737" s="340"/>
      <c r="BB2737" s="340"/>
      <c r="BD2737" s="339"/>
    </row>
    <row r="2738" spans="7:56" s="338" customFormat="1">
      <c r="G2738" s="340"/>
      <c r="L2738" s="340"/>
      <c r="P2738" s="340"/>
      <c r="U2738" s="340"/>
      <c r="V2738" s="340"/>
      <c r="Z2738" s="340"/>
      <c r="AE2738" s="340"/>
      <c r="AI2738" s="340"/>
      <c r="AN2738" s="340"/>
      <c r="AO2738" s="340"/>
      <c r="AS2738" s="340"/>
      <c r="AX2738" s="340"/>
      <c r="BB2738" s="340"/>
      <c r="BD2738" s="339"/>
    </row>
    <row r="2739" spans="7:56" s="338" customFormat="1">
      <c r="G2739" s="340"/>
      <c r="L2739" s="340"/>
      <c r="P2739" s="340"/>
      <c r="U2739" s="340"/>
      <c r="V2739" s="340"/>
      <c r="Z2739" s="340"/>
      <c r="AE2739" s="340"/>
      <c r="AI2739" s="340"/>
      <c r="AN2739" s="340"/>
      <c r="AO2739" s="340"/>
      <c r="AS2739" s="340"/>
      <c r="AX2739" s="340"/>
      <c r="BB2739" s="340"/>
      <c r="BD2739" s="339"/>
    </row>
    <row r="2740" spans="7:56" s="338" customFormat="1">
      <c r="G2740" s="340"/>
      <c r="L2740" s="340"/>
      <c r="P2740" s="340"/>
      <c r="U2740" s="340"/>
      <c r="V2740" s="340"/>
      <c r="Z2740" s="340"/>
      <c r="AE2740" s="340"/>
      <c r="AI2740" s="340"/>
      <c r="AN2740" s="340"/>
      <c r="AO2740" s="340"/>
      <c r="AS2740" s="340"/>
      <c r="AX2740" s="340"/>
      <c r="BB2740" s="340"/>
      <c r="BD2740" s="339"/>
    </row>
    <row r="2741" spans="7:56" s="338" customFormat="1">
      <c r="G2741" s="340"/>
      <c r="L2741" s="340"/>
      <c r="P2741" s="340"/>
      <c r="U2741" s="340"/>
      <c r="V2741" s="340"/>
      <c r="Z2741" s="340"/>
      <c r="AE2741" s="340"/>
      <c r="AI2741" s="340"/>
      <c r="AN2741" s="340"/>
      <c r="AO2741" s="340"/>
      <c r="AS2741" s="340"/>
      <c r="AX2741" s="340"/>
      <c r="BB2741" s="340"/>
      <c r="BD2741" s="339"/>
    </row>
    <row r="2742" spans="7:56" s="338" customFormat="1">
      <c r="G2742" s="340"/>
      <c r="L2742" s="340"/>
      <c r="P2742" s="340"/>
      <c r="U2742" s="340"/>
      <c r="V2742" s="340"/>
      <c r="Z2742" s="340"/>
      <c r="AE2742" s="340"/>
      <c r="AI2742" s="340"/>
      <c r="AN2742" s="340"/>
      <c r="AO2742" s="340"/>
      <c r="AS2742" s="340"/>
      <c r="AX2742" s="340"/>
      <c r="BB2742" s="340"/>
      <c r="BD2742" s="339"/>
    </row>
    <row r="2743" spans="7:56" s="338" customFormat="1">
      <c r="G2743" s="340"/>
      <c r="L2743" s="340"/>
      <c r="P2743" s="340"/>
      <c r="U2743" s="340"/>
      <c r="V2743" s="340"/>
      <c r="Z2743" s="340"/>
      <c r="AE2743" s="340"/>
      <c r="AI2743" s="340"/>
      <c r="AN2743" s="340"/>
      <c r="AO2743" s="340"/>
      <c r="AS2743" s="340"/>
      <c r="AX2743" s="340"/>
      <c r="BB2743" s="340"/>
      <c r="BD2743" s="339"/>
    </row>
    <row r="2744" spans="7:56" s="338" customFormat="1">
      <c r="G2744" s="340"/>
      <c r="L2744" s="340"/>
      <c r="P2744" s="340"/>
      <c r="U2744" s="340"/>
      <c r="V2744" s="340"/>
      <c r="Z2744" s="340"/>
      <c r="AE2744" s="340"/>
      <c r="AI2744" s="340"/>
      <c r="AN2744" s="340"/>
      <c r="AO2744" s="340"/>
      <c r="AS2744" s="340"/>
      <c r="AX2744" s="340"/>
      <c r="BB2744" s="340"/>
      <c r="BD2744" s="339"/>
    </row>
    <row r="2745" spans="7:56" s="338" customFormat="1">
      <c r="G2745" s="340"/>
      <c r="L2745" s="340"/>
      <c r="P2745" s="340"/>
      <c r="U2745" s="340"/>
      <c r="V2745" s="340"/>
      <c r="Z2745" s="340"/>
      <c r="AE2745" s="340"/>
      <c r="AI2745" s="340"/>
      <c r="AN2745" s="340"/>
      <c r="AO2745" s="340"/>
      <c r="AS2745" s="340"/>
      <c r="AX2745" s="340"/>
      <c r="BB2745" s="340"/>
      <c r="BD2745" s="339"/>
    </row>
    <row r="2746" spans="7:56" s="338" customFormat="1">
      <c r="G2746" s="340"/>
      <c r="L2746" s="340"/>
      <c r="P2746" s="340"/>
      <c r="U2746" s="340"/>
      <c r="V2746" s="340"/>
      <c r="Z2746" s="340"/>
      <c r="AE2746" s="340"/>
      <c r="AI2746" s="340"/>
      <c r="AN2746" s="340"/>
      <c r="AO2746" s="340"/>
      <c r="AS2746" s="340"/>
      <c r="AX2746" s="340"/>
      <c r="BB2746" s="340"/>
      <c r="BD2746" s="339"/>
    </row>
    <row r="2747" spans="7:56" s="338" customFormat="1">
      <c r="G2747" s="340"/>
      <c r="L2747" s="340"/>
      <c r="P2747" s="340"/>
      <c r="U2747" s="340"/>
      <c r="V2747" s="340"/>
      <c r="Z2747" s="340"/>
      <c r="AE2747" s="340"/>
      <c r="AI2747" s="340"/>
      <c r="AN2747" s="340"/>
      <c r="AO2747" s="340"/>
      <c r="AS2747" s="340"/>
      <c r="AX2747" s="340"/>
      <c r="BB2747" s="340"/>
      <c r="BD2747" s="339"/>
    </row>
    <row r="2748" spans="7:56" s="338" customFormat="1">
      <c r="G2748" s="340"/>
      <c r="L2748" s="340"/>
      <c r="P2748" s="340"/>
      <c r="U2748" s="340"/>
      <c r="V2748" s="340"/>
      <c r="Z2748" s="340"/>
      <c r="AE2748" s="340"/>
      <c r="AI2748" s="340"/>
      <c r="AN2748" s="340"/>
      <c r="AO2748" s="340"/>
      <c r="AS2748" s="340"/>
      <c r="AX2748" s="340"/>
      <c r="BB2748" s="340"/>
      <c r="BD2748" s="339"/>
    </row>
    <row r="2749" spans="7:56" s="338" customFormat="1">
      <c r="G2749" s="340"/>
      <c r="L2749" s="340"/>
      <c r="P2749" s="340"/>
      <c r="U2749" s="340"/>
      <c r="V2749" s="340"/>
      <c r="Z2749" s="340"/>
      <c r="AE2749" s="340"/>
      <c r="AI2749" s="340"/>
      <c r="AN2749" s="340"/>
      <c r="AO2749" s="340"/>
      <c r="AS2749" s="340"/>
      <c r="AX2749" s="340"/>
      <c r="BB2749" s="340"/>
      <c r="BD2749" s="339"/>
    </row>
    <row r="2750" spans="7:56" s="338" customFormat="1">
      <c r="G2750" s="340"/>
      <c r="L2750" s="340"/>
      <c r="P2750" s="340"/>
      <c r="U2750" s="340"/>
      <c r="V2750" s="340"/>
      <c r="Z2750" s="340"/>
      <c r="AE2750" s="340"/>
      <c r="AI2750" s="340"/>
      <c r="AN2750" s="340"/>
      <c r="AO2750" s="340"/>
      <c r="AS2750" s="340"/>
      <c r="AX2750" s="340"/>
      <c r="BB2750" s="340"/>
      <c r="BD2750" s="339"/>
    </row>
    <row r="2751" spans="7:56" s="338" customFormat="1">
      <c r="G2751" s="340"/>
      <c r="L2751" s="340"/>
      <c r="P2751" s="340"/>
      <c r="U2751" s="340"/>
      <c r="V2751" s="340"/>
      <c r="Z2751" s="340"/>
      <c r="AE2751" s="340"/>
      <c r="AI2751" s="340"/>
      <c r="AN2751" s="340"/>
      <c r="AO2751" s="340"/>
      <c r="AS2751" s="340"/>
      <c r="AX2751" s="340"/>
      <c r="BB2751" s="340"/>
      <c r="BD2751" s="339"/>
    </row>
    <row r="2752" spans="7:56" s="338" customFormat="1">
      <c r="G2752" s="340"/>
      <c r="L2752" s="340"/>
      <c r="P2752" s="340"/>
      <c r="U2752" s="340"/>
      <c r="V2752" s="340"/>
      <c r="Z2752" s="340"/>
      <c r="AE2752" s="340"/>
      <c r="AI2752" s="340"/>
      <c r="AN2752" s="340"/>
      <c r="AO2752" s="340"/>
      <c r="AS2752" s="340"/>
      <c r="AX2752" s="340"/>
      <c r="BB2752" s="340"/>
      <c r="BD2752" s="339"/>
    </row>
    <row r="2753" spans="7:56" s="338" customFormat="1">
      <c r="G2753" s="340"/>
      <c r="L2753" s="340"/>
      <c r="P2753" s="340"/>
      <c r="U2753" s="340"/>
      <c r="V2753" s="340"/>
      <c r="Z2753" s="340"/>
      <c r="AE2753" s="340"/>
      <c r="AI2753" s="340"/>
      <c r="AN2753" s="340"/>
      <c r="AO2753" s="340"/>
      <c r="AS2753" s="340"/>
      <c r="AX2753" s="340"/>
      <c r="BB2753" s="340"/>
      <c r="BD2753" s="339"/>
    </row>
    <row r="2754" spans="7:56" s="338" customFormat="1">
      <c r="G2754" s="340"/>
      <c r="L2754" s="340"/>
      <c r="P2754" s="340"/>
      <c r="U2754" s="340"/>
      <c r="V2754" s="340"/>
      <c r="Z2754" s="340"/>
      <c r="AE2754" s="340"/>
      <c r="AI2754" s="340"/>
      <c r="AN2754" s="340"/>
      <c r="AO2754" s="340"/>
      <c r="AS2754" s="340"/>
      <c r="AX2754" s="340"/>
      <c r="BB2754" s="340"/>
      <c r="BD2754" s="339"/>
    </row>
    <row r="2755" spans="7:56" s="338" customFormat="1">
      <c r="G2755" s="340"/>
      <c r="L2755" s="340"/>
      <c r="P2755" s="340"/>
      <c r="U2755" s="340"/>
      <c r="V2755" s="340"/>
      <c r="Z2755" s="340"/>
      <c r="AE2755" s="340"/>
      <c r="AI2755" s="340"/>
      <c r="AN2755" s="340"/>
      <c r="AO2755" s="340"/>
      <c r="AS2755" s="340"/>
      <c r="AX2755" s="340"/>
      <c r="BB2755" s="340"/>
      <c r="BD2755" s="339"/>
    </row>
    <row r="2756" spans="7:56" s="338" customFormat="1">
      <c r="G2756" s="340"/>
      <c r="L2756" s="340"/>
      <c r="P2756" s="340"/>
      <c r="U2756" s="340"/>
      <c r="V2756" s="340"/>
      <c r="Z2756" s="340"/>
      <c r="AE2756" s="340"/>
      <c r="AI2756" s="340"/>
      <c r="AN2756" s="340"/>
      <c r="AO2756" s="340"/>
      <c r="AS2756" s="340"/>
      <c r="AX2756" s="340"/>
      <c r="BB2756" s="340"/>
      <c r="BD2756" s="339"/>
    </row>
    <row r="2757" spans="7:56" s="338" customFormat="1">
      <c r="G2757" s="340"/>
      <c r="L2757" s="340"/>
      <c r="P2757" s="340"/>
      <c r="U2757" s="340"/>
      <c r="V2757" s="340"/>
      <c r="Z2757" s="340"/>
      <c r="AE2757" s="340"/>
      <c r="AI2757" s="340"/>
      <c r="AN2757" s="340"/>
      <c r="AO2757" s="340"/>
      <c r="AS2757" s="340"/>
      <c r="AX2757" s="340"/>
      <c r="BB2757" s="340"/>
      <c r="BD2757" s="339"/>
    </row>
    <row r="2758" spans="7:56" s="338" customFormat="1">
      <c r="G2758" s="340"/>
      <c r="L2758" s="340"/>
      <c r="P2758" s="340"/>
      <c r="U2758" s="340"/>
      <c r="V2758" s="340"/>
      <c r="Z2758" s="340"/>
      <c r="AE2758" s="340"/>
      <c r="AI2758" s="340"/>
      <c r="AN2758" s="340"/>
      <c r="AO2758" s="340"/>
      <c r="AS2758" s="340"/>
      <c r="AX2758" s="340"/>
      <c r="BB2758" s="340"/>
      <c r="BD2758" s="339"/>
    </row>
    <row r="2759" spans="7:56" s="338" customFormat="1">
      <c r="G2759" s="340"/>
      <c r="L2759" s="340"/>
      <c r="P2759" s="340"/>
      <c r="U2759" s="340"/>
      <c r="V2759" s="340"/>
      <c r="Z2759" s="340"/>
      <c r="AE2759" s="340"/>
      <c r="AI2759" s="340"/>
      <c r="AN2759" s="340"/>
      <c r="AO2759" s="340"/>
      <c r="AS2759" s="340"/>
      <c r="AX2759" s="340"/>
      <c r="BB2759" s="340"/>
      <c r="BD2759" s="339"/>
    </row>
    <row r="2760" spans="7:56" s="338" customFormat="1">
      <c r="G2760" s="340"/>
      <c r="L2760" s="340"/>
      <c r="P2760" s="340"/>
      <c r="U2760" s="340"/>
      <c r="V2760" s="340"/>
      <c r="Z2760" s="340"/>
      <c r="AE2760" s="340"/>
      <c r="AI2760" s="340"/>
      <c r="AN2760" s="340"/>
      <c r="AO2760" s="340"/>
      <c r="AS2760" s="340"/>
      <c r="AX2760" s="340"/>
      <c r="BB2760" s="340"/>
      <c r="BD2760" s="339"/>
    </row>
    <row r="2761" spans="7:56" s="338" customFormat="1">
      <c r="G2761" s="340"/>
      <c r="L2761" s="340"/>
      <c r="P2761" s="340"/>
      <c r="U2761" s="340"/>
      <c r="V2761" s="340"/>
      <c r="Z2761" s="340"/>
      <c r="AE2761" s="340"/>
      <c r="AI2761" s="340"/>
      <c r="AN2761" s="340"/>
      <c r="AO2761" s="340"/>
      <c r="AS2761" s="340"/>
      <c r="AX2761" s="340"/>
      <c r="BB2761" s="340"/>
      <c r="BD2761" s="339"/>
    </row>
    <row r="2762" spans="7:56" s="338" customFormat="1">
      <c r="G2762" s="340"/>
      <c r="L2762" s="340"/>
      <c r="P2762" s="340"/>
      <c r="U2762" s="340"/>
      <c r="V2762" s="340"/>
      <c r="Z2762" s="340"/>
      <c r="AE2762" s="340"/>
      <c r="AI2762" s="340"/>
      <c r="AN2762" s="340"/>
      <c r="AO2762" s="340"/>
      <c r="AS2762" s="340"/>
      <c r="AX2762" s="340"/>
      <c r="BB2762" s="340"/>
      <c r="BD2762" s="339"/>
    </row>
    <row r="2763" spans="7:56" s="338" customFormat="1">
      <c r="G2763" s="340"/>
      <c r="L2763" s="340"/>
      <c r="P2763" s="340"/>
      <c r="U2763" s="340"/>
      <c r="V2763" s="340"/>
      <c r="Z2763" s="340"/>
      <c r="AE2763" s="340"/>
      <c r="AI2763" s="340"/>
      <c r="AN2763" s="340"/>
      <c r="AO2763" s="340"/>
      <c r="AS2763" s="340"/>
      <c r="AX2763" s="340"/>
      <c r="BB2763" s="340"/>
      <c r="BD2763" s="339"/>
    </row>
    <row r="2764" spans="7:56" s="338" customFormat="1">
      <c r="G2764" s="340"/>
      <c r="L2764" s="340"/>
      <c r="P2764" s="340"/>
      <c r="U2764" s="340"/>
      <c r="V2764" s="340"/>
      <c r="Z2764" s="340"/>
      <c r="AE2764" s="340"/>
      <c r="AI2764" s="340"/>
      <c r="AN2764" s="340"/>
      <c r="AO2764" s="340"/>
      <c r="AS2764" s="340"/>
      <c r="AX2764" s="340"/>
      <c r="BB2764" s="340"/>
      <c r="BD2764" s="339"/>
    </row>
    <row r="2765" spans="7:56" s="338" customFormat="1">
      <c r="G2765" s="340"/>
      <c r="L2765" s="340"/>
      <c r="P2765" s="340"/>
      <c r="U2765" s="340"/>
      <c r="V2765" s="340"/>
      <c r="Z2765" s="340"/>
      <c r="AE2765" s="340"/>
      <c r="AI2765" s="340"/>
      <c r="AN2765" s="340"/>
      <c r="AO2765" s="340"/>
      <c r="AS2765" s="340"/>
      <c r="AX2765" s="340"/>
      <c r="BB2765" s="340"/>
      <c r="BD2765" s="339"/>
    </row>
    <row r="2766" spans="7:56" s="338" customFormat="1">
      <c r="G2766" s="340"/>
      <c r="L2766" s="340"/>
      <c r="P2766" s="340"/>
      <c r="U2766" s="340"/>
      <c r="V2766" s="340"/>
      <c r="Z2766" s="340"/>
      <c r="AE2766" s="340"/>
      <c r="AI2766" s="340"/>
      <c r="AN2766" s="340"/>
      <c r="AO2766" s="340"/>
      <c r="AS2766" s="340"/>
      <c r="AX2766" s="340"/>
      <c r="BB2766" s="340"/>
      <c r="BD2766" s="339"/>
    </row>
    <row r="2767" spans="7:56" s="338" customFormat="1">
      <c r="G2767" s="340"/>
      <c r="L2767" s="340"/>
      <c r="P2767" s="340"/>
      <c r="U2767" s="340"/>
      <c r="V2767" s="340"/>
      <c r="Z2767" s="340"/>
      <c r="AE2767" s="340"/>
      <c r="AI2767" s="340"/>
      <c r="AN2767" s="340"/>
      <c r="AO2767" s="340"/>
      <c r="AS2767" s="340"/>
      <c r="AX2767" s="340"/>
      <c r="BB2767" s="340"/>
      <c r="BD2767" s="339"/>
    </row>
    <row r="2768" spans="7:56" s="338" customFormat="1">
      <c r="G2768" s="340"/>
      <c r="L2768" s="340"/>
      <c r="P2768" s="340"/>
      <c r="U2768" s="340"/>
      <c r="V2768" s="340"/>
      <c r="Z2768" s="340"/>
      <c r="AE2768" s="340"/>
      <c r="AI2768" s="340"/>
      <c r="AN2768" s="340"/>
      <c r="AO2768" s="340"/>
      <c r="AS2768" s="340"/>
      <c r="AX2768" s="340"/>
      <c r="BB2768" s="340"/>
      <c r="BD2768" s="339"/>
    </row>
    <row r="2769" spans="7:56" s="338" customFormat="1">
      <c r="G2769" s="340"/>
      <c r="L2769" s="340"/>
      <c r="P2769" s="340"/>
      <c r="U2769" s="340"/>
      <c r="V2769" s="340"/>
      <c r="Z2769" s="340"/>
      <c r="AE2769" s="340"/>
      <c r="AI2769" s="340"/>
      <c r="AN2769" s="340"/>
      <c r="AO2769" s="340"/>
      <c r="AS2769" s="340"/>
      <c r="AX2769" s="340"/>
      <c r="BB2769" s="340"/>
      <c r="BD2769" s="339"/>
    </row>
    <row r="2770" spans="7:56" s="338" customFormat="1">
      <c r="G2770" s="340"/>
      <c r="L2770" s="340"/>
      <c r="P2770" s="340"/>
      <c r="U2770" s="340"/>
      <c r="V2770" s="340"/>
      <c r="Z2770" s="340"/>
      <c r="AE2770" s="340"/>
      <c r="AI2770" s="340"/>
      <c r="AN2770" s="340"/>
      <c r="AO2770" s="340"/>
      <c r="AS2770" s="340"/>
      <c r="AX2770" s="340"/>
      <c r="BB2770" s="340"/>
      <c r="BD2770" s="339"/>
    </row>
    <row r="2771" spans="7:56" s="338" customFormat="1">
      <c r="G2771" s="340"/>
      <c r="L2771" s="340"/>
      <c r="P2771" s="340"/>
      <c r="U2771" s="340"/>
      <c r="V2771" s="340"/>
      <c r="Z2771" s="340"/>
      <c r="AE2771" s="340"/>
      <c r="AI2771" s="340"/>
      <c r="AN2771" s="340"/>
      <c r="AO2771" s="340"/>
      <c r="AS2771" s="340"/>
      <c r="AX2771" s="340"/>
      <c r="BB2771" s="340"/>
      <c r="BD2771" s="339"/>
    </row>
    <row r="2772" spans="7:56" s="338" customFormat="1">
      <c r="G2772" s="340"/>
      <c r="L2772" s="340"/>
      <c r="P2772" s="340"/>
      <c r="U2772" s="340"/>
      <c r="V2772" s="340"/>
      <c r="Z2772" s="340"/>
      <c r="AE2772" s="340"/>
      <c r="AI2772" s="340"/>
      <c r="AN2772" s="340"/>
      <c r="AO2772" s="340"/>
      <c r="AS2772" s="340"/>
      <c r="AX2772" s="340"/>
      <c r="BB2772" s="340"/>
      <c r="BD2772" s="339"/>
    </row>
    <row r="2773" spans="7:56" s="338" customFormat="1">
      <c r="G2773" s="340"/>
      <c r="L2773" s="340"/>
      <c r="P2773" s="340"/>
      <c r="U2773" s="340"/>
      <c r="V2773" s="340"/>
      <c r="Z2773" s="340"/>
      <c r="AE2773" s="340"/>
      <c r="AI2773" s="340"/>
      <c r="AN2773" s="340"/>
      <c r="AO2773" s="340"/>
      <c r="AS2773" s="340"/>
      <c r="AX2773" s="340"/>
      <c r="BB2773" s="340"/>
      <c r="BD2773" s="339"/>
    </row>
    <row r="2774" spans="7:56" s="338" customFormat="1">
      <c r="G2774" s="340"/>
      <c r="L2774" s="340"/>
      <c r="P2774" s="340"/>
      <c r="U2774" s="340"/>
      <c r="V2774" s="340"/>
      <c r="Z2774" s="340"/>
      <c r="AE2774" s="340"/>
      <c r="AI2774" s="340"/>
      <c r="AN2774" s="340"/>
      <c r="AO2774" s="340"/>
      <c r="AS2774" s="340"/>
      <c r="AX2774" s="340"/>
      <c r="BB2774" s="340"/>
      <c r="BD2774" s="339"/>
    </row>
    <row r="2775" spans="7:56" s="338" customFormat="1">
      <c r="G2775" s="340"/>
      <c r="L2775" s="340"/>
      <c r="P2775" s="340"/>
      <c r="U2775" s="340"/>
      <c r="V2775" s="340"/>
      <c r="Z2775" s="340"/>
      <c r="AE2775" s="340"/>
      <c r="AI2775" s="340"/>
      <c r="AN2775" s="340"/>
      <c r="AO2775" s="340"/>
      <c r="AS2775" s="340"/>
      <c r="AX2775" s="340"/>
      <c r="BB2775" s="340"/>
      <c r="BD2775" s="339"/>
    </row>
    <row r="2776" spans="7:56" s="338" customFormat="1">
      <c r="G2776" s="340"/>
      <c r="L2776" s="340"/>
      <c r="P2776" s="340"/>
      <c r="U2776" s="340"/>
      <c r="V2776" s="340"/>
      <c r="Z2776" s="340"/>
      <c r="AE2776" s="340"/>
      <c r="AI2776" s="340"/>
      <c r="AN2776" s="340"/>
      <c r="AO2776" s="340"/>
      <c r="AS2776" s="340"/>
      <c r="AX2776" s="340"/>
      <c r="BB2776" s="340"/>
      <c r="BD2776" s="339"/>
    </row>
    <row r="2777" spans="7:56" s="338" customFormat="1">
      <c r="G2777" s="340"/>
      <c r="L2777" s="340"/>
      <c r="P2777" s="340"/>
      <c r="U2777" s="340"/>
      <c r="V2777" s="340"/>
      <c r="Z2777" s="340"/>
      <c r="AE2777" s="340"/>
      <c r="AI2777" s="340"/>
      <c r="AN2777" s="340"/>
      <c r="AO2777" s="340"/>
      <c r="AS2777" s="340"/>
      <c r="AX2777" s="340"/>
      <c r="BB2777" s="340"/>
      <c r="BD2777" s="339"/>
    </row>
    <row r="2778" spans="7:56" s="338" customFormat="1">
      <c r="G2778" s="340"/>
      <c r="L2778" s="340"/>
      <c r="P2778" s="340"/>
      <c r="U2778" s="340"/>
      <c r="V2778" s="340"/>
      <c r="Z2778" s="340"/>
      <c r="AE2778" s="340"/>
      <c r="AI2778" s="340"/>
      <c r="AN2778" s="340"/>
      <c r="AO2778" s="340"/>
      <c r="AS2778" s="340"/>
      <c r="AX2778" s="340"/>
      <c r="BB2778" s="340"/>
      <c r="BD2778" s="339"/>
    </row>
    <row r="2779" spans="7:56" s="338" customFormat="1">
      <c r="G2779" s="340"/>
      <c r="L2779" s="340"/>
      <c r="P2779" s="340"/>
      <c r="U2779" s="340"/>
      <c r="V2779" s="340"/>
      <c r="Z2779" s="340"/>
      <c r="AE2779" s="340"/>
      <c r="AI2779" s="340"/>
      <c r="AN2779" s="340"/>
      <c r="AO2779" s="340"/>
      <c r="AS2779" s="340"/>
      <c r="AX2779" s="340"/>
      <c r="BB2779" s="340"/>
      <c r="BD2779" s="339"/>
    </row>
    <row r="2780" spans="7:56" s="338" customFormat="1">
      <c r="G2780" s="340"/>
      <c r="L2780" s="340"/>
      <c r="P2780" s="340"/>
      <c r="U2780" s="340"/>
      <c r="V2780" s="340"/>
      <c r="Z2780" s="340"/>
      <c r="AE2780" s="340"/>
      <c r="AI2780" s="340"/>
      <c r="AN2780" s="340"/>
      <c r="AO2780" s="340"/>
      <c r="AS2780" s="340"/>
      <c r="AX2780" s="340"/>
      <c r="BB2780" s="340"/>
      <c r="BD2780" s="339"/>
    </row>
    <row r="2781" spans="7:56" s="338" customFormat="1">
      <c r="G2781" s="340"/>
      <c r="L2781" s="340"/>
      <c r="P2781" s="340"/>
      <c r="U2781" s="340"/>
      <c r="V2781" s="340"/>
      <c r="Z2781" s="340"/>
      <c r="AE2781" s="340"/>
      <c r="AI2781" s="340"/>
      <c r="AN2781" s="340"/>
      <c r="AO2781" s="340"/>
      <c r="AS2781" s="340"/>
      <c r="AX2781" s="340"/>
      <c r="BB2781" s="340"/>
      <c r="BD2781" s="339"/>
    </row>
    <row r="2782" spans="7:56" s="338" customFormat="1">
      <c r="G2782" s="340"/>
      <c r="L2782" s="340"/>
      <c r="P2782" s="340"/>
      <c r="U2782" s="340"/>
      <c r="V2782" s="340"/>
      <c r="Z2782" s="340"/>
      <c r="AE2782" s="340"/>
      <c r="AI2782" s="340"/>
      <c r="AN2782" s="340"/>
      <c r="AO2782" s="340"/>
      <c r="AS2782" s="340"/>
      <c r="AX2782" s="340"/>
      <c r="BB2782" s="340"/>
      <c r="BD2782" s="339"/>
    </row>
    <row r="2783" spans="7:56" s="338" customFormat="1">
      <c r="G2783" s="340"/>
      <c r="L2783" s="340"/>
      <c r="P2783" s="340"/>
      <c r="U2783" s="340"/>
      <c r="V2783" s="340"/>
      <c r="Z2783" s="340"/>
      <c r="AE2783" s="340"/>
      <c r="AI2783" s="340"/>
      <c r="AN2783" s="340"/>
      <c r="AO2783" s="340"/>
      <c r="AS2783" s="340"/>
      <c r="AX2783" s="340"/>
      <c r="BB2783" s="340"/>
      <c r="BD2783" s="339"/>
    </row>
    <row r="2784" spans="7:56" s="338" customFormat="1">
      <c r="G2784" s="340"/>
      <c r="L2784" s="340"/>
      <c r="P2784" s="340"/>
      <c r="U2784" s="340"/>
      <c r="V2784" s="340"/>
      <c r="Z2784" s="340"/>
      <c r="AE2784" s="340"/>
      <c r="AI2784" s="340"/>
      <c r="AN2784" s="340"/>
      <c r="AO2784" s="340"/>
      <c r="AS2784" s="340"/>
      <c r="AX2784" s="340"/>
      <c r="BB2784" s="340"/>
      <c r="BD2784" s="339"/>
    </row>
    <row r="2785" spans="7:56" s="338" customFormat="1">
      <c r="G2785" s="340"/>
      <c r="L2785" s="340"/>
      <c r="P2785" s="340"/>
      <c r="U2785" s="340"/>
      <c r="V2785" s="340"/>
      <c r="Z2785" s="340"/>
      <c r="AE2785" s="340"/>
      <c r="AI2785" s="340"/>
      <c r="AN2785" s="340"/>
      <c r="AO2785" s="340"/>
      <c r="AS2785" s="340"/>
      <c r="AX2785" s="340"/>
      <c r="BB2785" s="340"/>
      <c r="BD2785" s="339"/>
    </row>
    <row r="2786" spans="7:56" s="338" customFormat="1">
      <c r="G2786" s="340"/>
      <c r="L2786" s="340"/>
      <c r="P2786" s="340"/>
      <c r="U2786" s="340"/>
      <c r="V2786" s="340"/>
      <c r="Z2786" s="340"/>
      <c r="AE2786" s="340"/>
      <c r="AI2786" s="340"/>
      <c r="AN2786" s="340"/>
      <c r="AO2786" s="340"/>
      <c r="AS2786" s="340"/>
      <c r="AX2786" s="340"/>
      <c r="BB2786" s="340"/>
      <c r="BD2786" s="339"/>
    </row>
    <row r="2787" spans="7:56" s="338" customFormat="1">
      <c r="G2787" s="340"/>
      <c r="L2787" s="340"/>
      <c r="P2787" s="340"/>
      <c r="U2787" s="340"/>
      <c r="V2787" s="340"/>
      <c r="Z2787" s="340"/>
      <c r="AE2787" s="340"/>
      <c r="AI2787" s="340"/>
      <c r="AN2787" s="340"/>
      <c r="AO2787" s="340"/>
      <c r="AS2787" s="340"/>
      <c r="AX2787" s="340"/>
      <c r="BB2787" s="340"/>
      <c r="BD2787" s="339"/>
    </row>
    <row r="2788" spans="7:56" s="338" customFormat="1">
      <c r="G2788" s="340"/>
      <c r="L2788" s="340"/>
      <c r="P2788" s="340"/>
      <c r="U2788" s="340"/>
      <c r="V2788" s="340"/>
      <c r="Z2788" s="340"/>
      <c r="AE2788" s="340"/>
      <c r="AI2788" s="340"/>
      <c r="AN2788" s="340"/>
      <c r="AO2788" s="340"/>
      <c r="AS2788" s="340"/>
      <c r="AX2788" s="340"/>
      <c r="BB2788" s="340"/>
      <c r="BD2788" s="339"/>
    </row>
    <row r="2789" spans="7:56" s="338" customFormat="1">
      <c r="G2789" s="340"/>
      <c r="L2789" s="340"/>
      <c r="P2789" s="340"/>
      <c r="U2789" s="340"/>
      <c r="V2789" s="340"/>
      <c r="Z2789" s="340"/>
      <c r="AE2789" s="340"/>
      <c r="AI2789" s="340"/>
      <c r="AN2789" s="340"/>
      <c r="AO2789" s="340"/>
      <c r="AS2789" s="340"/>
      <c r="AX2789" s="340"/>
      <c r="BB2789" s="340"/>
      <c r="BD2789" s="339"/>
    </row>
    <row r="2790" spans="7:56" s="338" customFormat="1">
      <c r="G2790" s="340"/>
      <c r="L2790" s="340"/>
      <c r="P2790" s="340"/>
      <c r="U2790" s="340"/>
      <c r="V2790" s="340"/>
      <c r="Z2790" s="340"/>
      <c r="AE2790" s="340"/>
      <c r="AI2790" s="340"/>
      <c r="AN2790" s="340"/>
      <c r="AO2790" s="340"/>
      <c r="AS2790" s="340"/>
      <c r="AX2790" s="340"/>
      <c r="BB2790" s="340"/>
      <c r="BD2790" s="339"/>
    </row>
    <row r="2791" spans="7:56" s="338" customFormat="1">
      <c r="G2791" s="340"/>
      <c r="L2791" s="340"/>
      <c r="P2791" s="340"/>
      <c r="U2791" s="340"/>
      <c r="V2791" s="340"/>
      <c r="Z2791" s="340"/>
      <c r="AE2791" s="340"/>
      <c r="AI2791" s="340"/>
      <c r="AN2791" s="340"/>
      <c r="AO2791" s="340"/>
      <c r="AS2791" s="340"/>
      <c r="AX2791" s="340"/>
      <c r="BB2791" s="340"/>
      <c r="BD2791" s="339"/>
    </row>
    <row r="2792" spans="7:56" s="338" customFormat="1">
      <c r="G2792" s="340"/>
      <c r="L2792" s="340"/>
      <c r="P2792" s="340"/>
      <c r="U2792" s="340"/>
      <c r="V2792" s="340"/>
      <c r="Z2792" s="340"/>
      <c r="AE2792" s="340"/>
      <c r="AI2792" s="340"/>
      <c r="AN2792" s="340"/>
      <c r="AO2792" s="340"/>
      <c r="AS2792" s="340"/>
      <c r="AX2792" s="340"/>
      <c r="BB2792" s="340"/>
      <c r="BD2792" s="339"/>
    </row>
    <row r="2793" spans="7:56" s="338" customFormat="1">
      <c r="G2793" s="340"/>
      <c r="L2793" s="340"/>
      <c r="P2793" s="340"/>
      <c r="U2793" s="340"/>
      <c r="V2793" s="340"/>
      <c r="Z2793" s="340"/>
      <c r="AE2793" s="340"/>
      <c r="AI2793" s="340"/>
      <c r="AN2793" s="340"/>
      <c r="AO2793" s="340"/>
      <c r="AS2793" s="340"/>
      <c r="AX2793" s="340"/>
      <c r="BB2793" s="340"/>
      <c r="BD2793" s="339"/>
    </row>
    <row r="2794" spans="7:56" s="338" customFormat="1">
      <c r="G2794" s="340"/>
      <c r="L2794" s="340"/>
      <c r="P2794" s="340"/>
      <c r="U2794" s="340"/>
      <c r="V2794" s="340"/>
      <c r="Z2794" s="340"/>
      <c r="AE2794" s="340"/>
      <c r="AI2794" s="340"/>
      <c r="AN2794" s="340"/>
      <c r="AO2794" s="340"/>
      <c r="AS2794" s="340"/>
      <c r="AX2794" s="340"/>
      <c r="BB2794" s="340"/>
      <c r="BD2794" s="339"/>
    </row>
    <row r="2795" spans="7:56" s="338" customFormat="1">
      <c r="G2795" s="340"/>
      <c r="L2795" s="340"/>
      <c r="P2795" s="340"/>
      <c r="U2795" s="340"/>
      <c r="V2795" s="340"/>
      <c r="Z2795" s="340"/>
      <c r="AE2795" s="340"/>
      <c r="AI2795" s="340"/>
      <c r="AN2795" s="340"/>
      <c r="AO2795" s="340"/>
      <c r="AS2795" s="340"/>
      <c r="AX2795" s="340"/>
      <c r="BB2795" s="340"/>
      <c r="BD2795" s="339"/>
    </row>
    <row r="2796" spans="7:56" s="338" customFormat="1">
      <c r="G2796" s="340"/>
      <c r="L2796" s="340"/>
      <c r="P2796" s="340"/>
      <c r="U2796" s="340"/>
      <c r="V2796" s="340"/>
      <c r="Z2796" s="340"/>
      <c r="AE2796" s="340"/>
      <c r="AI2796" s="340"/>
      <c r="AN2796" s="340"/>
      <c r="AO2796" s="340"/>
      <c r="AS2796" s="340"/>
      <c r="AX2796" s="340"/>
      <c r="BB2796" s="340"/>
      <c r="BD2796" s="339"/>
    </row>
    <row r="2797" spans="7:56" s="338" customFormat="1">
      <c r="G2797" s="340"/>
      <c r="L2797" s="340"/>
      <c r="P2797" s="340"/>
      <c r="U2797" s="340"/>
      <c r="V2797" s="340"/>
      <c r="Z2797" s="340"/>
      <c r="AE2797" s="340"/>
      <c r="AI2797" s="340"/>
      <c r="AN2797" s="340"/>
      <c r="AO2797" s="340"/>
      <c r="AS2797" s="340"/>
      <c r="AX2797" s="340"/>
      <c r="BB2797" s="340"/>
      <c r="BD2797" s="339"/>
    </row>
    <row r="2798" spans="7:56" s="338" customFormat="1">
      <c r="G2798" s="340"/>
      <c r="L2798" s="340"/>
      <c r="P2798" s="340"/>
      <c r="U2798" s="340"/>
      <c r="V2798" s="340"/>
      <c r="Z2798" s="340"/>
      <c r="AE2798" s="340"/>
      <c r="AI2798" s="340"/>
      <c r="AN2798" s="340"/>
      <c r="AO2798" s="340"/>
      <c r="AS2798" s="340"/>
      <c r="AX2798" s="340"/>
      <c r="BB2798" s="340"/>
      <c r="BD2798" s="339"/>
    </row>
    <row r="2799" spans="7:56" s="338" customFormat="1">
      <c r="G2799" s="340"/>
      <c r="L2799" s="340"/>
      <c r="P2799" s="340"/>
      <c r="U2799" s="340"/>
      <c r="V2799" s="340"/>
      <c r="Z2799" s="340"/>
      <c r="AE2799" s="340"/>
      <c r="AI2799" s="340"/>
      <c r="AN2799" s="340"/>
      <c r="AO2799" s="340"/>
      <c r="AS2799" s="340"/>
      <c r="AX2799" s="340"/>
      <c r="BB2799" s="340"/>
      <c r="BD2799" s="339"/>
    </row>
    <row r="2800" spans="7:56" s="338" customFormat="1">
      <c r="G2800" s="340"/>
      <c r="L2800" s="340"/>
      <c r="P2800" s="340"/>
      <c r="U2800" s="340"/>
      <c r="V2800" s="340"/>
      <c r="Z2800" s="340"/>
      <c r="AE2800" s="340"/>
      <c r="AI2800" s="340"/>
      <c r="AN2800" s="340"/>
      <c r="AO2800" s="340"/>
      <c r="AS2800" s="340"/>
      <c r="AX2800" s="340"/>
      <c r="BB2800" s="340"/>
      <c r="BD2800" s="339"/>
    </row>
    <row r="2801" spans="7:56" s="338" customFormat="1">
      <c r="G2801" s="340"/>
      <c r="L2801" s="340"/>
      <c r="P2801" s="340"/>
      <c r="U2801" s="340"/>
      <c r="V2801" s="340"/>
      <c r="Z2801" s="340"/>
      <c r="AE2801" s="340"/>
      <c r="AI2801" s="340"/>
      <c r="AN2801" s="340"/>
      <c r="AO2801" s="340"/>
      <c r="AS2801" s="340"/>
      <c r="AX2801" s="340"/>
      <c r="BB2801" s="340"/>
      <c r="BD2801" s="339"/>
    </row>
    <row r="2802" spans="7:56" s="338" customFormat="1">
      <c r="G2802" s="340"/>
      <c r="L2802" s="340"/>
      <c r="P2802" s="340"/>
      <c r="U2802" s="340"/>
      <c r="V2802" s="340"/>
      <c r="Z2802" s="340"/>
      <c r="AE2802" s="340"/>
      <c r="AI2802" s="340"/>
      <c r="AN2802" s="340"/>
      <c r="AO2802" s="340"/>
      <c r="AS2802" s="340"/>
      <c r="AX2802" s="340"/>
      <c r="BB2802" s="340"/>
      <c r="BD2802" s="339"/>
    </row>
    <row r="2803" spans="7:56" s="338" customFormat="1">
      <c r="G2803" s="340"/>
      <c r="L2803" s="340"/>
      <c r="P2803" s="340"/>
      <c r="U2803" s="340"/>
      <c r="V2803" s="340"/>
      <c r="Z2803" s="340"/>
      <c r="AE2803" s="340"/>
      <c r="AI2803" s="340"/>
      <c r="AN2803" s="340"/>
      <c r="AO2803" s="340"/>
      <c r="AS2803" s="340"/>
      <c r="AX2803" s="340"/>
      <c r="BB2803" s="340"/>
      <c r="BD2803" s="339"/>
    </row>
    <row r="2804" spans="7:56" s="338" customFormat="1">
      <c r="G2804" s="340"/>
      <c r="L2804" s="340"/>
      <c r="P2804" s="340"/>
      <c r="U2804" s="340"/>
      <c r="V2804" s="340"/>
      <c r="Z2804" s="340"/>
      <c r="AE2804" s="340"/>
      <c r="AI2804" s="340"/>
      <c r="AN2804" s="340"/>
      <c r="AO2804" s="340"/>
      <c r="AS2804" s="340"/>
      <c r="AX2804" s="340"/>
      <c r="BB2804" s="340"/>
      <c r="BD2804" s="339"/>
    </row>
    <row r="2805" spans="7:56" s="338" customFormat="1">
      <c r="G2805" s="340"/>
      <c r="L2805" s="340"/>
      <c r="P2805" s="340"/>
      <c r="U2805" s="340"/>
      <c r="V2805" s="340"/>
      <c r="Z2805" s="340"/>
      <c r="AE2805" s="340"/>
      <c r="AI2805" s="340"/>
      <c r="AN2805" s="340"/>
      <c r="AO2805" s="340"/>
      <c r="AS2805" s="340"/>
      <c r="AX2805" s="340"/>
      <c r="BB2805" s="340"/>
      <c r="BD2805" s="339"/>
    </row>
    <row r="2806" spans="7:56" s="338" customFormat="1">
      <c r="G2806" s="340"/>
      <c r="L2806" s="340"/>
      <c r="P2806" s="340"/>
      <c r="U2806" s="340"/>
      <c r="V2806" s="340"/>
      <c r="Z2806" s="340"/>
      <c r="AE2806" s="340"/>
      <c r="AI2806" s="340"/>
      <c r="AN2806" s="340"/>
      <c r="AO2806" s="340"/>
      <c r="AS2806" s="340"/>
      <c r="AX2806" s="340"/>
      <c r="BB2806" s="340"/>
      <c r="BD2806" s="339"/>
    </row>
    <row r="2807" spans="7:56" s="338" customFormat="1">
      <c r="G2807" s="340"/>
      <c r="L2807" s="340"/>
      <c r="P2807" s="340"/>
      <c r="U2807" s="340"/>
      <c r="V2807" s="340"/>
      <c r="Z2807" s="340"/>
      <c r="AE2807" s="340"/>
      <c r="AI2807" s="340"/>
      <c r="AN2807" s="340"/>
      <c r="AO2807" s="340"/>
      <c r="AS2807" s="340"/>
      <c r="AX2807" s="340"/>
      <c r="BB2807" s="340"/>
      <c r="BD2807" s="339"/>
    </row>
    <row r="2808" spans="7:56" s="338" customFormat="1">
      <c r="G2808" s="340"/>
      <c r="L2808" s="340"/>
      <c r="P2808" s="340"/>
      <c r="U2808" s="340"/>
      <c r="V2808" s="340"/>
      <c r="Z2808" s="340"/>
      <c r="AE2808" s="340"/>
      <c r="AI2808" s="340"/>
      <c r="AN2808" s="340"/>
      <c r="AO2808" s="340"/>
      <c r="AS2808" s="340"/>
      <c r="AX2808" s="340"/>
      <c r="BB2808" s="340"/>
      <c r="BD2808" s="339"/>
    </row>
    <row r="2809" spans="7:56" s="338" customFormat="1">
      <c r="G2809" s="340"/>
      <c r="L2809" s="340"/>
      <c r="P2809" s="340"/>
      <c r="U2809" s="340"/>
      <c r="V2809" s="340"/>
      <c r="Z2809" s="340"/>
      <c r="AE2809" s="340"/>
      <c r="AI2809" s="340"/>
      <c r="AN2809" s="340"/>
      <c r="AO2809" s="340"/>
      <c r="AS2809" s="340"/>
      <c r="AX2809" s="340"/>
      <c r="BB2809" s="340"/>
      <c r="BD2809" s="339"/>
    </row>
    <row r="2810" spans="7:56" s="338" customFormat="1">
      <c r="G2810" s="340"/>
      <c r="L2810" s="340"/>
      <c r="P2810" s="340"/>
      <c r="U2810" s="340"/>
      <c r="V2810" s="340"/>
      <c r="Z2810" s="340"/>
      <c r="AE2810" s="340"/>
      <c r="AI2810" s="340"/>
      <c r="AN2810" s="340"/>
      <c r="AO2810" s="340"/>
      <c r="AS2810" s="340"/>
      <c r="AX2810" s="340"/>
      <c r="BB2810" s="340"/>
      <c r="BD2810" s="339"/>
    </row>
    <row r="2811" spans="7:56" s="338" customFormat="1">
      <c r="G2811" s="340"/>
      <c r="L2811" s="340"/>
      <c r="P2811" s="340"/>
      <c r="U2811" s="340"/>
      <c r="V2811" s="340"/>
      <c r="Z2811" s="340"/>
      <c r="AE2811" s="340"/>
      <c r="AI2811" s="340"/>
      <c r="AN2811" s="340"/>
      <c r="AO2811" s="340"/>
      <c r="AS2811" s="340"/>
      <c r="AX2811" s="340"/>
      <c r="BB2811" s="340"/>
      <c r="BD2811" s="339"/>
    </row>
    <row r="2812" spans="7:56" s="338" customFormat="1">
      <c r="G2812" s="340"/>
      <c r="L2812" s="340"/>
      <c r="P2812" s="340"/>
      <c r="U2812" s="340"/>
      <c r="V2812" s="340"/>
      <c r="Z2812" s="340"/>
      <c r="AE2812" s="340"/>
      <c r="AI2812" s="340"/>
      <c r="AN2812" s="340"/>
      <c r="AO2812" s="340"/>
      <c r="AS2812" s="340"/>
      <c r="AX2812" s="340"/>
      <c r="BB2812" s="340"/>
      <c r="BD2812" s="339"/>
    </row>
    <row r="2813" spans="7:56" s="338" customFormat="1">
      <c r="G2813" s="340"/>
      <c r="L2813" s="340"/>
      <c r="P2813" s="340"/>
      <c r="U2813" s="340"/>
      <c r="V2813" s="340"/>
      <c r="Z2813" s="340"/>
      <c r="AE2813" s="340"/>
      <c r="AI2813" s="340"/>
      <c r="AN2813" s="340"/>
      <c r="AO2813" s="340"/>
      <c r="AS2813" s="340"/>
      <c r="AX2813" s="340"/>
      <c r="BB2813" s="340"/>
      <c r="BD2813" s="339"/>
    </row>
    <row r="2814" spans="7:56" s="338" customFormat="1">
      <c r="G2814" s="340"/>
      <c r="L2814" s="340"/>
      <c r="P2814" s="340"/>
      <c r="U2814" s="340"/>
      <c r="V2814" s="340"/>
      <c r="Z2814" s="340"/>
      <c r="AE2814" s="340"/>
      <c r="AI2814" s="340"/>
      <c r="AN2814" s="340"/>
      <c r="AO2814" s="340"/>
      <c r="AS2814" s="340"/>
      <c r="AX2814" s="340"/>
      <c r="BB2814" s="340"/>
      <c r="BD2814" s="339"/>
    </row>
    <row r="2815" spans="7:56" s="338" customFormat="1">
      <c r="G2815" s="340"/>
      <c r="L2815" s="340"/>
      <c r="P2815" s="340"/>
      <c r="U2815" s="340"/>
      <c r="V2815" s="340"/>
      <c r="Z2815" s="340"/>
      <c r="AE2815" s="340"/>
      <c r="AI2815" s="340"/>
      <c r="AN2815" s="340"/>
      <c r="AO2815" s="340"/>
      <c r="AS2815" s="340"/>
      <c r="AX2815" s="340"/>
      <c r="BB2815" s="340"/>
      <c r="BD2815" s="339"/>
    </row>
    <row r="2816" spans="7:56" s="338" customFormat="1">
      <c r="G2816" s="340"/>
      <c r="L2816" s="340"/>
      <c r="P2816" s="340"/>
      <c r="U2816" s="340"/>
      <c r="V2816" s="340"/>
      <c r="Z2816" s="340"/>
      <c r="AE2816" s="340"/>
      <c r="AI2816" s="340"/>
      <c r="AN2816" s="340"/>
      <c r="AO2816" s="340"/>
      <c r="AS2816" s="340"/>
      <c r="AX2816" s="340"/>
      <c r="BB2816" s="340"/>
      <c r="BD2816" s="339"/>
    </row>
    <row r="2817" spans="7:56" s="338" customFormat="1">
      <c r="G2817" s="340"/>
      <c r="L2817" s="340"/>
      <c r="P2817" s="340"/>
      <c r="U2817" s="340"/>
      <c r="V2817" s="340"/>
      <c r="Z2817" s="340"/>
      <c r="AE2817" s="340"/>
      <c r="AI2817" s="340"/>
      <c r="AN2817" s="340"/>
      <c r="AO2817" s="340"/>
      <c r="AS2817" s="340"/>
      <c r="AX2817" s="340"/>
      <c r="BB2817" s="340"/>
      <c r="BD2817" s="339"/>
    </row>
    <row r="2818" spans="7:56" s="338" customFormat="1">
      <c r="G2818" s="340"/>
      <c r="L2818" s="340"/>
      <c r="P2818" s="340"/>
      <c r="U2818" s="340"/>
      <c r="V2818" s="340"/>
      <c r="Z2818" s="340"/>
      <c r="AE2818" s="340"/>
      <c r="AI2818" s="340"/>
      <c r="AN2818" s="340"/>
      <c r="AO2818" s="340"/>
      <c r="AS2818" s="340"/>
      <c r="AX2818" s="340"/>
      <c r="BB2818" s="340"/>
      <c r="BD2818" s="339"/>
    </row>
    <row r="2819" spans="7:56" s="338" customFormat="1">
      <c r="G2819" s="340"/>
      <c r="L2819" s="340"/>
      <c r="P2819" s="340"/>
      <c r="U2819" s="340"/>
      <c r="V2819" s="340"/>
      <c r="Z2819" s="340"/>
      <c r="AE2819" s="340"/>
      <c r="AI2819" s="340"/>
      <c r="AN2819" s="340"/>
      <c r="AO2819" s="340"/>
      <c r="AS2819" s="340"/>
      <c r="AX2819" s="340"/>
      <c r="BB2819" s="340"/>
      <c r="BD2819" s="339"/>
    </row>
    <row r="2820" spans="7:56" s="338" customFormat="1">
      <c r="G2820" s="340"/>
      <c r="L2820" s="340"/>
      <c r="P2820" s="340"/>
      <c r="U2820" s="340"/>
      <c r="V2820" s="340"/>
      <c r="Z2820" s="340"/>
      <c r="AE2820" s="340"/>
      <c r="AI2820" s="340"/>
      <c r="AN2820" s="340"/>
      <c r="AO2820" s="340"/>
      <c r="AS2820" s="340"/>
      <c r="AX2820" s="340"/>
      <c r="BB2820" s="340"/>
      <c r="BD2820" s="339"/>
    </row>
    <row r="2821" spans="7:56" s="338" customFormat="1">
      <c r="G2821" s="340"/>
      <c r="L2821" s="340"/>
      <c r="P2821" s="340"/>
      <c r="U2821" s="340"/>
      <c r="V2821" s="340"/>
      <c r="Z2821" s="340"/>
      <c r="AE2821" s="340"/>
      <c r="AI2821" s="340"/>
      <c r="AN2821" s="340"/>
      <c r="AO2821" s="340"/>
      <c r="AS2821" s="340"/>
      <c r="AX2821" s="340"/>
      <c r="BB2821" s="340"/>
      <c r="BD2821" s="339"/>
    </row>
    <row r="2822" spans="7:56" s="338" customFormat="1">
      <c r="G2822" s="340"/>
      <c r="L2822" s="340"/>
      <c r="P2822" s="340"/>
      <c r="U2822" s="340"/>
      <c r="V2822" s="340"/>
      <c r="Z2822" s="340"/>
      <c r="AE2822" s="340"/>
      <c r="AI2822" s="340"/>
      <c r="AN2822" s="340"/>
      <c r="AO2822" s="340"/>
      <c r="AS2822" s="340"/>
      <c r="AX2822" s="340"/>
      <c r="BB2822" s="340"/>
      <c r="BD2822" s="339"/>
    </row>
    <row r="2823" spans="7:56" s="338" customFormat="1">
      <c r="G2823" s="340"/>
      <c r="L2823" s="340"/>
      <c r="P2823" s="340"/>
      <c r="U2823" s="340"/>
      <c r="V2823" s="340"/>
      <c r="Z2823" s="340"/>
      <c r="AE2823" s="340"/>
      <c r="AI2823" s="340"/>
      <c r="AN2823" s="340"/>
      <c r="AO2823" s="340"/>
      <c r="AS2823" s="340"/>
      <c r="AX2823" s="340"/>
      <c r="BB2823" s="340"/>
      <c r="BD2823" s="339"/>
    </row>
    <row r="2824" spans="7:56" s="338" customFormat="1">
      <c r="G2824" s="340"/>
      <c r="L2824" s="340"/>
      <c r="P2824" s="340"/>
      <c r="U2824" s="340"/>
      <c r="V2824" s="340"/>
      <c r="Z2824" s="340"/>
      <c r="AE2824" s="340"/>
      <c r="AI2824" s="340"/>
      <c r="AN2824" s="340"/>
      <c r="AO2824" s="340"/>
      <c r="AS2824" s="340"/>
      <c r="AX2824" s="340"/>
      <c r="BB2824" s="340"/>
      <c r="BD2824" s="339"/>
    </row>
    <row r="2825" spans="7:56" s="338" customFormat="1">
      <c r="G2825" s="340"/>
      <c r="L2825" s="340"/>
      <c r="P2825" s="340"/>
      <c r="U2825" s="340"/>
      <c r="V2825" s="340"/>
      <c r="Z2825" s="340"/>
      <c r="AE2825" s="340"/>
      <c r="AI2825" s="340"/>
      <c r="AN2825" s="340"/>
      <c r="AO2825" s="340"/>
      <c r="AS2825" s="340"/>
      <c r="AX2825" s="340"/>
      <c r="BB2825" s="340"/>
      <c r="BD2825" s="339"/>
    </row>
    <row r="2826" spans="7:56" s="338" customFormat="1">
      <c r="G2826" s="340"/>
      <c r="L2826" s="340"/>
      <c r="P2826" s="340"/>
      <c r="U2826" s="340"/>
      <c r="V2826" s="340"/>
      <c r="Z2826" s="340"/>
      <c r="AE2826" s="340"/>
      <c r="AI2826" s="340"/>
      <c r="AN2826" s="340"/>
      <c r="AO2826" s="340"/>
      <c r="AS2826" s="340"/>
      <c r="AX2826" s="340"/>
      <c r="BB2826" s="340"/>
      <c r="BD2826" s="339"/>
    </row>
    <row r="2827" spans="7:56" s="338" customFormat="1">
      <c r="G2827" s="340"/>
      <c r="L2827" s="340"/>
      <c r="P2827" s="340"/>
      <c r="U2827" s="340"/>
      <c r="V2827" s="340"/>
      <c r="Z2827" s="340"/>
      <c r="AE2827" s="340"/>
      <c r="AI2827" s="340"/>
      <c r="AN2827" s="340"/>
      <c r="AO2827" s="340"/>
      <c r="AS2827" s="340"/>
      <c r="AX2827" s="340"/>
      <c r="BB2827" s="340"/>
      <c r="BD2827" s="339"/>
    </row>
    <row r="2828" spans="7:56" s="338" customFormat="1">
      <c r="G2828" s="340"/>
      <c r="L2828" s="340"/>
      <c r="P2828" s="340"/>
      <c r="U2828" s="340"/>
      <c r="V2828" s="340"/>
      <c r="Z2828" s="340"/>
      <c r="AE2828" s="340"/>
      <c r="AI2828" s="340"/>
      <c r="AN2828" s="340"/>
      <c r="AO2828" s="340"/>
      <c r="AS2828" s="340"/>
      <c r="AX2828" s="340"/>
      <c r="BB2828" s="340"/>
      <c r="BD2828" s="339"/>
    </row>
    <row r="2829" spans="7:56" s="338" customFormat="1">
      <c r="G2829" s="340"/>
      <c r="L2829" s="340"/>
      <c r="P2829" s="340"/>
      <c r="U2829" s="340"/>
      <c r="V2829" s="340"/>
      <c r="Z2829" s="340"/>
      <c r="AE2829" s="340"/>
      <c r="AI2829" s="340"/>
      <c r="AN2829" s="340"/>
      <c r="AO2829" s="340"/>
      <c r="AS2829" s="340"/>
      <c r="AX2829" s="340"/>
      <c r="BB2829" s="340"/>
      <c r="BD2829" s="339"/>
    </row>
    <row r="2830" spans="7:56" s="338" customFormat="1">
      <c r="G2830" s="340"/>
      <c r="L2830" s="340"/>
      <c r="P2830" s="340"/>
      <c r="U2830" s="340"/>
      <c r="V2830" s="340"/>
      <c r="Z2830" s="340"/>
      <c r="AE2830" s="340"/>
      <c r="AI2830" s="340"/>
      <c r="AN2830" s="340"/>
      <c r="AO2830" s="340"/>
      <c r="AS2830" s="340"/>
      <c r="AX2830" s="340"/>
      <c r="BB2830" s="340"/>
      <c r="BD2830" s="339"/>
    </row>
    <row r="2831" spans="7:56" s="338" customFormat="1">
      <c r="G2831" s="340"/>
      <c r="L2831" s="340"/>
      <c r="P2831" s="340"/>
      <c r="U2831" s="340"/>
      <c r="V2831" s="340"/>
      <c r="Z2831" s="340"/>
      <c r="AE2831" s="340"/>
      <c r="AI2831" s="340"/>
      <c r="AN2831" s="340"/>
      <c r="AO2831" s="340"/>
      <c r="AS2831" s="340"/>
      <c r="AX2831" s="340"/>
      <c r="BB2831" s="340"/>
      <c r="BD2831" s="339"/>
    </row>
    <row r="2832" spans="7:56" s="338" customFormat="1">
      <c r="G2832" s="340"/>
      <c r="L2832" s="340"/>
      <c r="P2832" s="340"/>
      <c r="U2832" s="340"/>
      <c r="V2832" s="340"/>
      <c r="Z2832" s="340"/>
      <c r="AE2832" s="340"/>
      <c r="AI2832" s="340"/>
      <c r="AN2832" s="340"/>
      <c r="AO2832" s="340"/>
      <c r="AS2832" s="340"/>
      <c r="AX2832" s="340"/>
      <c r="BB2832" s="340"/>
      <c r="BD2832" s="339"/>
    </row>
    <row r="2833" spans="7:56" s="338" customFormat="1">
      <c r="G2833" s="340"/>
      <c r="L2833" s="340"/>
      <c r="P2833" s="340"/>
      <c r="U2833" s="340"/>
      <c r="V2833" s="340"/>
      <c r="Z2833" s="340"/>
      <c r="AE2833" s="340"/>
      <c r="AI2833" s="340"/>
      <c r="AN2833" s="340"/>
      <c r="AO2833" s="340"/>
      <c r="AS2833" s="340"/>
      <c r="AX2833" s="340"/>
      <c r="BB2833" s="340"/>
      <c r="BD2833" s="339"/>
    </row>
    <row r="2834" spans="7:56" s="338" customFormat="1">
      <c r="G2834" s="340"/>
      <c r="L2834" s="340"/>
      <c r="P2834" s="340"/>
      <c r="U2834" s="340"/>
      <c r="V2834" s="340"/>
      <c r="Z2834" s="340"/>
      <c r="AE2834" s="340"/>
      <c r="AI2834" s="340"/>
      <c r="AN2834" s="340"/>
      <c r="AO2834" s="340"/>
      <c r="AS2834" s="340"/>
      <c r="AX2834" s="340"/>
      <c r="BB2834" s="340"/>
      <c r="BD2834" s="339"/>
    </row>
    <row r="2835" spans="7:56" s="338" customFormat="1">
      <c r="G2835" s="340"/>
      <c r="L2835" s="340"/>
      <c r="P2835" s="340"/>
      <c r="U2835" s="340"/>
      <c r="V2835" s="340"/>
      <c r="Z2835" s="340"/>
      <c r="AE2835" s="340"/>
      <c r="AI2835" s="340"/>
      <c r="AN2835" s="340"/>
      <c r="AO2835" s="340"/>
      <c r="AS2835" s="340"/>
      <c r="AX2835" s="340"/>
      <c r="BB2835" s="340"/>
      <c r="BD2835" s="339"/>
    </row>
    <row r="2836" spans="7:56" s="338" customFormat="1">
      <c r="G2836" s="340"/>
      <c r="L2836" s="340"/>
      <c r="P2836" s="340"/>
      <c r="U2836" s="340"/>
      <c r="V2836" s="340"/>
      <c r="Z2836" s="340"/>
      <c r="AE2836" s="340"/>
      <c r="AI2836" s="340"/>
      <c r="AN2836" s="340"/>
      <c r="AO2836" s="340"/>
      <c r="AS2836" s="340"/>
      <c r="AX2836" s="340"/>
      <c r="BB2836" s="340"/>
      <c r="BD2836" s="339"/>
    </row>
    <row r="2837" spans="7:56" s="338" customFormat="1">
      <c r="G2837" s="340"/>
      <c r="L2837" s="340"/>
      <c r="P2837" s="340"/>
      <c r="U2837" s="340"/>
      <c r="V2837" s="340"/>
      <c r="Z2837" s="340"/>
      <c r="AE2837" s="340"/>
      <c r="AI2837" s="340"/>
      <c r="AN2837" s="340"/>
      <c r="AO2837" s="340"/>
      <c r="AS2837" s="340"/>
      <c r="AX2837" s="340"/>
      <c r="BB2837" s="340"/>
      <c r="BD2837" s="339"/>
    </row>
    <row r="2838" spans="7:56" s="338" customFormat="1">
      <c r="G2838" s="340"/>
      <c r="L2838" s="340"/>
      <c r="P2838" s="340"/>
      <c r="U2838" s="340"/>
      <c r="V2838" s="340"/>
      <c r="Z2838" s="340"/>
      <c r="AE2838" s="340"/>
      <c r="AI2838" s="340"/>
      <c r="AN2838" s="340"/>
      <c r="AO2838" s="340"/>
      <c r="AS2838" s="340"/>
      <c r="AX2838" s="340"/>
      <c r="BB2838" s="340"/>
      <c r="BD2838" s="339"/>
    </row>
    <row r="2839" spans="7:56" s="338" customFormat="1">
      <c r="G2839" s="340"/>
      <c r="L2839" s="340"/>
      <c r="P2839" s="340"/>
      <c r="U2839" s="340"/>
      <c r="V2839" s="340"/>
      <c r="Z2839" s="340"/>
      <c r="AE2839" s="340"/>
      <c r="AI2839" s="340"/>
      <c r="AN2839" s="340"/>
      <c r="AO2839" s="340"/>
      <c r="AS2839" s="340"/>
      <c r="AX2839" s="340"/>
      <c r="BB2839" s="340"/>
      <c r="BD2839" s="339"/>
    </row>
    <row r="2840" spans="7:56" s="338" customFormat="1">
      <c r="G2840" s="340"/>
      <c r="L2840" s="340"/>
      <c r="P2840" s="340"/>
      <c r="U2840" s="340"/>
      <c r="V2840" s="340"/>
      <c r="Z2840" s="340"/>
      <c r="AE2840" s="340"/>
      <c r="AI2840" s="340"/>
      <c r="AN2840" s="340"/>
      <c r="AO2840" s="340"/>
      <c r="AS2840" s="340"/>
      <c r="AX2840" s="340"/>
      <c r="BB2840" s="340"/>
      <c r="BD2840" s="339"/>
    </row>
    <row r="2841" spans="7:56" s="338" customFormat="1">
      <c r="G2841" s="340"/>
      <c r="L2841" s="340"/>
      <c r="P2841" s="340"/>
      <c r="U2841" s="340"/>
      <c r="V2841" s="340"/>
      <c r="Z2841" s="340"/>
      <c r="AE2841" s="340"/>
      <c r="AI2841" s="340"/>
      <c r="AN2841" s="340"/>
      <c r="AO2841" s="340"/>
      <c r="AS2841" s="340"/>
      <c r="AX2841" s="340"/>
      <c r="BB2841" s="340"/>
      <c r="BD2841" s="339"/>
    </row>
    <row r="2842" spans="7:56" s="338" customFormat="1">
      <c r="G2842" s="340"/>
      <c r="L2842" s="340"/>
      <c r="P2842" s="340"/>
      <c r="U2842" s="340"/>
      <c r="V2842" s="340"/>
      <c r="Z2842" s="340"/>
      <c r="AE2842" s="340"/>
      <c r="AI2842" s="340"/>
      <c r="AN2842" s="340"/>
      <c r="AO2842" s="340"/>
      <c r="AS2842" s="340"/>
      <c r="AX2842" s="340"/>
      <c r="BB2842" s="340"/>
      <c r="BD2842" s="339"/>
    </row>
    <row r="2843" spans="7:56" s="338" customFormat="1">
      <c r="G2843" s="340"/>
      <c r="L2843" s="340"/>
      <c r="P2843" s="340"/>
      <c r="U2843" s="340"/>
      <c r="V2843" s="340"/>
      <c r="Z2843" s="340"/>
      <c r="AE2843" s="340"/>
      <c r="AI2843" s="340"/>
      <c r="AN2843" s="340"/>
      <c r="AO2843" s="340"/>
      <c r="AS2843" s="340"/>
      <c r="AX2843" s="340"/>
      <c r="BB2843" s="340"/>
      <c r="BD2843" s="339"/>
    </row>
    <row r="2844" spans="7:56" s="338" customFormat="1">
      <c r="G2844" s="340"/>
      <c r="L2844" s="340"/>
      <c r="P2844" s="340"/>
      <c r="U2844" s="340"/>
      <c r="V2844" s="340"/>
      <c r="Z2844" s="340"/>
      <c r="AE2844" s="340"/>
      <c r="AI2844" s="340"/>
      <c r="AN2844" s="340"/>
      <c r="AO2844" s="340"/>
      <c r="AS2844" s="340"/>
      <c r="AX2844" s="340"/>
      <c r="BB2844" s="340"/>
      <c r="BD2844" s="339"/>
    </row>
    <row r="2845" spans="7:56" s="338" customFormat="1">
      <c r="G2845" s="340"/>
      <c r="L2845" s="340"/>
      <c r="P2845" s="340"/>
      <c r="U2845" s="340"/>
      <c r="V2845" s="340"/>
      <c r="Z2845" s="340"/>
      <c r="AE2845" s="340"/>
      <c r="AI2845" s="340"/>
      <c r="AN2845" s="340"/>
      <c r="AO2845" s="340"/>
      <c r="AS2845" s="340"/>
      <c r="AX2845" s="340"/>
      <c r="BB2845" s="340"/>
      <c r="BD2845" s="339"/>
    </row>
    <row r="2846" spans="7:56" s="338" customFormat="1">
      <c r="G2846" s="340"/>
      <c r="L2846" s="340"/>
      <c r="P2846" s="340"/>
      <c r="U2846" s="340"/>
      <c r="V2846" s="340"/>
      <c r="Z2846" s="340"/>
      <c r="AE2846" s="340"/>
      <c r="AI2846" s="340"/>
      <c r="AN2846" s="340"/>
      <c r="AO2846" s="340"/>
      <c r="AS2846" s="340"/>
      <c r="AX2846" s="340"/>
      <c r="BB2846" s="340"/>
      <c r="BD2846" s="339"/>
    </row>
    <row r="2847" spans="7:56" s="338" customFormat="1">
      <c r="G2847" s="340"/>
      <c r="L2847" s="340"/>
      <c r="P2847" s="340"/>
      <c r="U2847" s="340"/>
      <c r="V2847" s="340"/>
      <c r="Z2847" s="340"/>
      <c r="AE2847" s="340"/>
      <c r="AI2847" s="340"/>
      <c r="AN2847" s="340"/>
      <c r="AO2847" s="340"/>
      <c r="AS2847" s="340"/>
      <c r="AX2847" s="340"/>
      <c r="BB2847" s="340"/>
      <c r="BD2847" s="339"/>
    </row>
    <row r="2848" spans="7:56" s="338" customFormat="1">
      <c r="G2848" s="340"/>
      <c r="L2848" s="340"/>
      <c r="P2848" s="340"/>
      <c r="U2848" s="340"/>
      <c r="V2848" s="340"/>
      <c r="Z2848" s="340"/>
      <c r="AE2848" s="340"/>
      <c r="AI2848" s="340"/>
      <c r="AN2848" s="340"/>
      <c r="AO2848" s="340"/>
      <c r="AS2848" s="340"/>
      <c r="AX2848" s="340"/>
      <c r="BB2848" s="340"/>
      <c r="BD2848" s="339"/>
    </row>
    <row r="2849" spans="7:56" s="338" customFormat="1">
      <c r="G2849" s="340"/>
      <c r="L2849" s="340"/>
      <c r="P2849" s="340"/>
      <c r="U2849" s="340"/>
      <c r="V2849" s="340"/>
      <c r="Z2849" s="340"/>
      <c r="AE2849" s="340"/>
      <c r="AI2849" s="340"/>
      <c r="AN2849" s="340"/>
      <c r="AO2849" s="340"/>
      <c r="AS2849" s="340"/>
      <c r="AX2849" s="340"/>
      <c r="BB2849" s="340"/>
      <c r="BD2849" s="339"/>
    </row>
    <row r="2850" spans="7:56" s="338" customFormat="1">
      <c r="G2850" s="340"/>
      <c r="L2850" s="340"/>
      <c r="P2850" s="340"/>
      <c r="U2850" s="340"/>
      <c r="V2850" s="340"/>
      <c r="Z2850" s="340"/>
      <c r="AE2850" s="340"/>
      <c r="AI2850" s="340"/>
      <c r="AN2850" s="340"/>
      <c r="AO2850" s="340"/>
      <c r="AS2850" s="340"/>
      <c r="AX2850" s="340"/>
      <c r="BB2850" s="340"/>
      <c r="BD2850" s="339"/>
    </row>
    <row r="2851" spans="7:56" s="338" customFormat="1">
      <c r="G2851" s="340"/>
      <c r="L2851" s="340"/>
      <c r="P2851" s="340"/>
      <c r="U2851" s="340"/>
      <c r="V2851" s="340"/>
      <c r="Z2851" s="340"/>
      <c r="AE2851" s="340"/>
      <c r="AI2851" s="340"/>
      <c r="AN2851" s="340"/>
      <c r="AO2851" s="340"/>
      <c r="AS2851" s="340"/>
      <c r="AX2851" s="340"/>
      <c r="BB2851" s="340"/>
      <c r="BD2851" s="339"/>
    </row>
    <row r="2852" spans="7:56" s="338" customFormat="1">
      <c r="G2852" s="340"/>
      <c r="L2852" s="340"/>
      <c r="P2852" s="340"/>
      <c r="U2852" s="340"/>
      <c r="V2852" s="340"/>
      <c r="Z2852" s="340"/>
      <c r="AE2852" s="340"/>
      <c r="AI2852" s="340"/>
      <c r="AN2852" s="340"/>
      <c r="AO2852" s="340"/>
      <c r="AS2852" s="340"/>
      <c r="AX2852" s="340"/>
      <c r="BB2852" s="340"/>
      <c r="BD2852" s="339"/>
    </row>
    <row r="2853" spans="7:56" s="338" customFormat="1">
      <c r="G2853" s="340"/>
      <c r="L2853" s="340"/>
      <c r="P2853" s="340"/>
      <c r="U2853" s="340"/>
      <c r="V2853" s="340"/>
      <c r="Z2853" s="340"/>
      <c r="AE2853" s="340"/>
      <c r="AI2853" s="340"/>
      <c r="AN2853" s="340"/>
      <c r="AO2853" s="340"/>
      <c r="AS2853" s="340"/>
      <c r="AX2853" s="340"/>
      <c r="BB2853" s="340"/>
      <c r="BD2853" s="339"/>
    </row>
    <row r="2854" spans="7:56" s="338" customFormat="1">
      <c r="G2854" s="340"/>
      <c r="L2854" s="340"/>
      <c r="P2854" s="340"/>
      <c r="U2854" s="340"/>
      <c r="V2854" s="340"/>
      <c r="Z2854" s="340"/>
      <c r="AE2854" s="340"/>
      <c r="AI2854" s="340"/>
      <c r="AN2854" s="340"/>
      <c r="AO2854" s="340"/>
      <c r="AS2854" s="340"/>
      <c r="AX2854" s="340"/>
      <c r="BB2854" s="340"/>
      <c r="BD2854" s="339"/>
    </row>
    <row r="2855" spans="7:56" s="338" customFormat="1">
      <c r="G2855" s="340"/>
      <c r="L2855" s="340"/>
      <c r="P2855" s="340"/>
      <c r="U2855" s="340"/>
      <c r="V2855" s="340"/>
      <c r="Z2855" s="340"/>
      <c r="AE2855" s="340"/>
      <c r="AI2855" s="340"/>
      <c r="AN2855" s="340"/>
      <c r="AO2855" s="340"/>
      <c r="AS2855" s="340"/>
      <c r="AX2855" s="340"/>
      <c r="BB2855" s="340"/>
      <c r="BD2855" s="339"/>
    </row>
    <row r="2856" spans="7:56" s="338" customFormat="1">
      <c r="G2856" s="340"/>
      <c r="L2856" s="340"/>
      <c r="P2856" s="340"/>
      <c r="U2856" s="340"/>
      <c r="V2856" s="340"/>
      <c r="Z2856" s="340"/>
      <c r="AE2856" s="340"/>
      <c r="AI2856" s="340"/>
      <c r="AN2856" s="340"/>
      <c r="AO2856" s="340"/>
      <c r="AS2856" s="340"/>
      <c r="AX2856" s="340"/>
      <c r="BB2856" s="340"/>
      <c r="BD2856" s="339"/>
    </row>
    <row r="2857" spans="7:56" s="338" customFormat="1">
      <c r="G2857" s="340"/>
      <c r="L2857" s="340"/>
      <c r="P2857" s="340"/>
      <c r="U2857" s="340"/>
      <c r="V2857" s="340"/>
      <c r="Z2857" s="340"/>
      <c r="AE2857" s="340"/>
      <c r="AI2857" s="340"/>
      <c r="AN2857" s="340"/>
      <c r="AO2857" s="340"/>
      <c r="AS2857" s="340"/>
      <c r="AX2857" s="340"/>
      <c r="BB2857" s="340"/>
      <c r="BD2857" s="339"/>
    </row>
    <row r="2858" spans="7:56" s="338" customFormat="1">
      <c r="G2858" s="340"/>
      <c r="L2858" s="340"/>
      <c r="P2858" s="340"/>
      <c r="U2858" s="340"/>
      <c r="V2858" s="340"/>
      <c r="Z2858" s="340"/>
      <c r="AE2858" s="340"/>
      <c r="AI2858" s="340"/>
      <c r="AN2858" s="340"/>
      <c r="AO2858" s="340"/>
      <c r="AS2858" s="340"/>
      <c r="AX2858" s="340"/>
      <c r="BB2858" s="340"/>
      <c r="BD2858" s="339"/>
    </row>
    <row r="2859" spans="7:56" s="338" customFormat="1">
      <c r="G2859" s="340"/>
      <c r="L2859" s="340"/>
      <c r="P2859" s="340"/>
      <c r="U2859" s="340"/>
      <c r="V2859" s="340"/>
      <c r="Z2859" s="340"/>
      <c r="AE2859" s="340"/>
      <c r="AI2859" s="340"/>
      <c r="AN2859" s="340"/>
      <c r="AO2859" s="340"/>
      <c r="AS2859" s="340"/>
      <c r="AX2859" s="340"/>
      <c r="BB2859" s="340"/>
      <c r="BD2859" s="339"/>
    </row>
    <row r="2860" spans="7:56" s="338" customFormat="1">
      <c r="G2860" s="340"/>
      <c r="L2860" s="340"/>
      <c r="P2860" s="340"/>
      <c r="U2860" s="340"/>
      <c r="V2860" s="340"/>
      <c r="Z2860" s="340"/>
      <c r="AE2860" s="340"/>
      <c r="AI2860" s="340"/>
      <c r="AN2860" s="340"/>
      <c r="AO2860" s="340"/>
      <c r="AS2860" s="340"/>
      <c r="AX2860" s="340"/>
      <c r="BB2860" s="340"/>
      <c r="BD2860" s="339"/>
    </row>
    <row r="2861" spans="7:56" s="338" customFormat="1">
      <c r="G2861" s="340"/>
      <c r="L2861" s="340"/>
      <c r="P2861" s="340"/>
      <c r="U2861" s="340"/>
      <c r="V2861" s="340"/>
      <c r="Z2861" s="340"/>
      <c r="AE2861" s="340"/>
      <c r="AI2861" s="340"/>
      <c r="AN2861" s="340"/>
      <c r="AO2861" s="340"/>
      <c r="AS2861" s="340"/>
      <c r="AX2861" s="340"/>
      <c r="BB2861" s="340"/>
      <c r="BD2861" s="339"/>
    </row>
    <row r="2862" spans="7:56" s="338" customFormat="1">
      <c r="G2862" s="340"/>
      <c r="L2862" s="340"/>
      <c r="P2862" s="340"/>
      <c r="U2862" s="340"/>
      <c r="V2862" s="340"/>
      <c r="Z2862" s="340"/>
      <c r="AE2862" s="340"/>
      <c r="AI2862" s="340"/>
      <c r="AN2862" s="340"/>
      <c r="AO2862" s="340"/>
      <c r="AS2862" s="340"/>
      <c r="AX2862" s="340"/>
      <c r="BB2862" s="340"/>
      <c r="BD2862" s="339"/>
    </row>
    <row r="2863" spans="7:56" s="338" customFormat="1">
      <c r="G2863" s="340"/>
      <c r="L2863" s="340"/>
      <c r="P2863" s="340"/>
      <c r="U2863" s="340"/>
      <c r="V2863" s="340"/>
      <c r="Z2863" s="340"/>
      <c r="AE2863" s="340"/>
      <c r="AI2863" s="340"/>
      <c r="AN2863" s="340"/>
      <c r="AO2863" s="340"/>
      <c r="AS2863" s="340"/>
      <c r="AX2863" s="340"/>
      <c r="BB2863" s="340"/>
      <c r="BD2863" s="339"/>
    </row>
    <row r="2864" spans="7:56" s="338" customFormat="1">
      <c r="G2864" s="340"/>
      <c r="L2864" s="340"/>
      <c r="P2864" s="340"/>
      <c r="U2864" s="340"/>
      <c r="V2864" s="340"/>
      <c r="Z2864" s="340"/>
      <c r="AE2864" s="340"/>
      <c r="AI2864" s="340"/>
      <c r="AN2864" s="340"/>
      <c r="AO2864" s="340"/>
      <c r="AS2864" s="340"/>
      <c r="AX2864" s="340"/>
      <c r="BB2864" s="340"/>
      <c r="BD2864" s="339"/>
    </row>
    <row r="2865" spans="7:56" s="338" customFormat="1">
      <c r="G2865" s="340"/>
      <c r="L2865" s="340"/>
      <c r="P2865" s="340"/>
      <c r="U2865" s="340"/>
      <c r="V2865" s="340"/>
      <c r="Z2865" s="340"/>
      <c r="AE2865" s="340"/>
      <c r="AI2865" s="340"/>
      <c r="AN2865" s="340"/>
      <c r="AO2865" s="340"/>
      <c r="AS2865" s="340"/>
      <c r="AX2865" s="340"/>
      <c r="BB2865" s="340"/>
      <c r="BD2865" s="339"/>
    </row>
    <row r="2866" spans="7:56" s="338" customFormat="1">
      <c r="G2866" s="340"/>
      <c r="L2866" s="340"/>
      <c r="P2866" s="340"/>
      <c r="U2866" s="340"/>
      <c r="V2866" s="340"/>
      <c r="Z2866" s="340"/>
      <c r="AE2866" s="340"/>
      <c r="AI2866" s="340"/>
      <c r="AN2866" s="340"/>
      <c r="AO2866" s="340"/>
      <c r="AS2866" s="340"/>
      <c r="AX2866" s="340"/>
      <c r="BB2866" s="340"/>
      <c r="BD2866" s="339"/>
    </row>
    <row r="2867" spans="7:56" s="338" customFormat="1">
      <c r="G2867" s="340"/>
      <c r="L2867" s="340"/>
      <c r="P2867" s="340"/>
      <c r="U2867" s="340"/>
      <c r="V2867" s="340"/>
      <c r="Z2867" s="340"/>
      <c r="AE2867" s="340"/>
      <c r="AI2867" s="340"/>
      <c r="AN2867" s="340"/>
      <c r="AO2867" s="340"/>
      <c r="AS2867" s="340"/>
      <c r="AX2867" s="340"/>
      <c r="BB2867" s="340"/>
      <c r="BD2867" s="339"/>
    </row>
    <row r="2868" spans="7:56" s="338" customFormat="1">
      <c r="G2868" s="340"/>
      <c r="L2868" s="340"/>
      <c r="P2868" s="340"/>
      <c r="U2868" s="340"/>
      <c r="V2868" s="340"/>
      <c r="Z2868" s="340"/>
      <c r="AE2868" s="340"/>
      <c r="AI2868" s="340"/>
      <c r="AN2868" s="340"/>
      <c r="AO2868" s="340"/>
      <c r="AS2868" s="340"/>
      <c r="AX2868" s="340"/>
      <c r="BB2868" s="340"/>
      <c r="BD2868" s="339"/>
    </row>
    <row r="2869" spans="7:56" s="338" customFormat="1">
      <c r="G2869" s="340"/>
      <c r="L2869" s="340"/>
      <c r="P2869" s="340"/>
      <c r="U2869" s="340"/>
      <c r="V2869" s="340"/>
      <c r="Z2869" s="340"/>
      <c r="AE2869" s="340"/>
      <c r="AI2869" s="340"/>
      <c r="AN2869" s="340"/>
      <c r="AO2869" s="340"/>
      <c r="AS2869" s="340"/>
      <c r="AX2869" s="340"/>
      <c r="BB2869" s="340"/>
      <c r="BD2869" s="339"/>
    </row>
    <row r="2870" spans="7:56" s="338" customFormat="1">
      <c r="G2870" s="340"/>
      <c r="L2870" s="340"/>
      <c r="P2870" s="340"/>
      <c r="U2870" s="340"/>
      <c r="V2870" s="340"/>
      <c r="Z2870" s="340"/>
      <c r="AE2870" s="340"/>
      <c r="AI2870" s="340"/>
      <c r="AN2870" s="340"/>
      <c r="AO2870" s="340"/>
      <c r="AS2870" s="340"/>
      <c r="AX2870" s="340"/>
      <c r="BB2870" s="340"/>
      <c r="BD2870" s="339"/>
    </row>
    <row r="2871" spans="7:56" s="338" customFormat="1">
      <c r="G2871" s="340"/>
      <c r="L2871" s="340"/>
      <c r="P2871" s="340"/>
      <c r="U2871" s="340"/>
      <c r="V2871" s="340"/>
      <c r="Z2871" s="340"/>
      <c r="AE2871" s="340"/>
      <c r="AI2871" s="340"/>
      <c r="AN2871" s="340"/>
      <c r="AO2871" s="340"/>
      <c r="AS2871" s="340"/>
      <c r="AX2871" s="340"/>
      <c r="BB2871" s="340"/>
      <c r="BD2871" s="339"/>
    </row>
    <row r="2872" spans="7:56" s="338" customFormat="1">
      <c r="G2872" s="340"/>
      <c r="L2872" s="340"/>
      <c r="P2872" s="340"/>
      <c r="U2872" s="340"/>
      <c r="V2872" s="340"/>
      <c r="Z2872" s="340"/>
      <c r="AE2872" s="340"/>
      <c r="AI2872" s="340"/>
      <c r="AN2872" s="340"/>
      <c r="AO2872" s="340"/>
      <c r="AS2872" s="340"/>
      <c r="AX2872" s="340"/>
      <c r="BB2872" s="340"/>
      <c r="BD2872" s="339"/>
    </row>
    <row r="2873" spans="7:56" s="338" customFormat="1">
      <c r="G2873" s="340"/>
      <c r="L2873" s="340"/>
      <c r="P2873" s="340"/>
      <c r="U2873" s="340"/>
      <c r="V2873" s="340"/>
      <c r="Z2873" s="340"/>
      <c r="AE2873" s="340"/>
      <c r="AI2873" s="340"/>
      <c r="AN2873" s="340"/>
      <c r="AO2873" s="340"/>
      <c r="AS2873" s="340"/>
      <c r="AX2873" s="340"/>
      <c r="BB2873" s="340"/>
      <c r="BD2873" s="339"/>
    </row>
    <row r="2874" spans="7:56" s="338" customFormat="1">
      <c r="G2874" s="340"/>
      <c r="L2874" s="340"/>
      <c r="P2874" s="340"/>
      <c r="U2874" s="340"/>
      <c r="V2874" s="340"/>
      <c r="Z2874" s="340"/>
      <c r="AE2874" s="340"/>
      <c r="AI2874" s="340"/>
      <c r="AN2874" s="340"/>
      <c r="AO2874" s="340"/>
      <c r="AS2874" s="340"/>
      <c r="AX2874" s="340"/>
      <c r="BB2874" s="340"/>
      <c r="BD2874" s="339"/>
    </row>
    <row r="2875" spans="7:56" s="338" customFormat="1">
      <c r="G2875" s="340"/>
      <c r="L2875" s="340"/>
      <c r="P2875" s="340"/>
      <c r="U2875" s="340"/>
      <c r="V2875" s="340"/>
      <c r="Z2875" s="340"/>
      <c r="AE2875" s="340"/>
      <c r="AI2875" s="340"/>
      <c r="AN2875" s="340"/>
      <c r="AO2875" s="340"/>
      <c r="AS2875" s="340"/>
      <c r="AX2875" s="340"/>
      <c r="BB2875" s="340"/>
      <c r="BD2875" s="339"/>
    </row>
    <row r="2876" spans="7:56" s="338" customFormat="1">
      <c r="G2876" s="340"/>
      <c r="L2876" s="340"/>
      <c r="P2876" s="340"/>
      <c r="U2876" s="340"/>
      <c r="V2876" s="340"/>
      <c r="Z2876" s="340"/>
      <c r="AE2876" s="340"/>
      <c r="AI2876" s="340"/>
      <c r="AN2876" s="340"/>
      <c r="AO2876" s="340"/>
      <c r="AS2876" s="340"/>
      <c r="AX2876" s="340"/>
      <c r="BB2876" s="340"/>
      <c r="BD2876" s="339"/>
    </row>
    <row r="2877" spans="7:56" s="338" customFormat="1">
      <c r="G2877" s="340"/>
      <c r="L2877" s="340"/>
      <c r="P2877" s="340"/>
      <c r="U2877" s="340"/>
      <c r="V2877" s="340"/>
      <c r="Z2877" s="340"/>
      <c r="AE2877" s="340"/>
      <c r="AI2877" s="340"/>
      <c r="AN2877" s="340"/>
      <c r="AO2877" s="340"/>
      <c r="AS2877" s="340"/>
      <c r="AX2877" s="340"/>
      <c r="BB2877" s="340"/>
      <c r="BD2877" s="339"/>
    </row>
    <row r="2878" spans="7:56" s="338" customFormat="1">
      <c r="G2878" s="340"/>
      <c r="L2878" s="340"/>
      <c r="P2878" s="340"/>
      <c r="U2878" s="340"/>
      <c r="V2878" s="340"/>
      <c r="Z2878" s="340"/>
      <c r="AE2878" s="340"/>
      <c r="AI2878" s="340"/>
      <c r="AN2878" s="340"/>
      <c r="AO2878" s="340"/>
      <c r="AS2878" s="340"/>
      <c r="AX2878" s="340"/>
      <c r="BB2878" s="340"/>
      <c r="BD2878" s="339"/>
    </row>
    <row r="2879" spans="7:56" s="338" customFormat="1">
      <c r="G2879" s="340"/>
      <c r="L2879" s="340"/>
      <c r="P2879" s="340"/>
      <c r="U2879" s="340"/>
      <c r="V2879" s="340"/>
      <c r="Z2879" s="340"/>
      <c r="AE2879" s="340"/>
      <c r="AI2879" s="340"/>
      <c r="AN2879" s="340"/>
      <c r="AO2879" s="340"/>
      <c r="AS2879" s="340"/>
      <c r="AX2879" s="340"/>
      <c r="BB2879" s="340"/>
      <c r="BD2879" s="339"/>
    </row>
    <row r="2880" spans="7:56" s="338" customFormat="1">
      <c r="G2880" s="340"/>
      <c r="L2880" s="340"/>
      <c r="P2880" s="340"/>
      <c r="U2880" s="340"/>
      <c r="V2880" s="340"/>
      <c r="Z2880" s="340"/>
      <c r="AE2880" s="340"/>
      <c r="AI2880" s="340"/>
      <c r="AN2880" s="340"/>
      <c r="AO2880" s="340"/>
      <c r="AS2880" s="340"/>
      <c r="AX2880" s="340"/>
      <c r="BB2880" s="340"/>
      <c r="BD2880" s="339"/>
    </row>
    <row r="2881" spans="7:56" s="338" customFormat="1">
      <c r="G2881" s="340"/>
      <c r="L2881" s="340"/>
      <c r="P2881" s="340"/>
      <c r="U2881" s="340"/>
      <c r="V2881" s="340"/>
      <c r="Z2881" s="340"/>
      <c r="AE2881" s="340"/>
      <c r="AI2881" s="340"/>
      <c r="AN2881" s="340"/>
      <c r="AO2881" s="340"/>
      <c r="AS2881" s="340"/>
      <c r="AX2881" s="340"/>
      <c r="BB2881" s="340"/>
      <c r="BD2881" s="339"/>
    </row>
    <row r="2882" spans="7:56" s="338" customFormat="1">
      <c r="G2882" s="340"/>
      <c r="L2882" s="340"/>
      <c r="P2882" s="340"/>
      <c r="U2882" s="340"/>
      <c r="V2882" s="340"/>
      <c r="Z2882" s="340"/>
      <c r="AE2882" s="340"/>
      <c r="AI2882" s="340"/>
      <c r="AN2882" s="340"/>
      <c r="AO2882" s="340"/>
      <c r="AS2882" s="340"/>
      <c r="AX2882" s="340"/>
      <c r="BB2882" s="340"/>
      <c r="BD2882" s="339"/>
    </row>
    <row r="2883" spans="7:56" s="338" customFormat="1">
      <c r="G2883" s="340"/>
      <c r="L2883" s="340"/>
      <c r="P2883" s="340"/>
      <c r="U2883" s="340"/>
      <c r="V2883" s="340"/>
      <c r="Z2883" s="340"/>
      <c r="AE2883" s="340"/>
      <c r="AI2883" s="340"/>
      <c r="AN2883" s="340"/>
      <c r="AO2883" s="340"/>
      <c r="AS2883" s="340"/>
      <c r="AX2883" s="340"/>
      <c r="BB2883" s="340"/>
      <c r="BD2883" s="339"/>
    </row>
    <row r="2884" spans="7:56" s="338" customFormat="1">
      <c r="G2884" s="340"/>
      <c r="L2884" s="340"/>
      <c r="P2884" s="340"/>
      <c r="U2884" s="340"/>
      <c r="V2884" s="340"/>
      <c r="Z2884" s="340"/>
      <c r="AE2884" s="340"/>
      <c r="AI2884" s="340"/>
      <c r="AN2884" s="340"/>
      <c r="AO2884" s="340"/>
      <c r="AS2884" s="340"/>
      <c r="AX2884" s="340"/>
      <c r="BB2884" s="340"/>
      <c r="BD2884" s="339"/>
    </row>
    <row r="2885" spans="7:56" s="338" customFormat="1">
      <c r="G2885" s="340"/>
      <c r="L2885" s="340"/>
      <c r="P2885" s="340"/>
      <c r="U2885" s="340"/>
      <c r="V2885" s="340"/>
      <c r="Z2885" s="340"/>
      <c r="AE2885" s="340"/>
      <c r="AI2885" s="340"/>
      <c r="AN2885" s="340"/>
      <c r="AO2885" s="340"/>
      <c r="AS2885" s="340"/>
      <c r="AX2885" s="340"/>
      <c r="BB2885" s="340"/>
      <c r="BD2885" s="339"/>
    </row>
    <row r="2886" spans="7:56" s="338" customFormat="1">
      <c r="G2886" s="340"/>
      <c r="L2886" s="340"/>
      <c r="P2886" s="340"/>
      <c r="U2886" s="340"/>
      <c r="V2886" s="340"/>
      <c r="Z2886" s="340"/>
      <c r="AE2886" s="340"/>
      <c r="AI2886" s="340"/>
      <c r="AN2886" s="340"/>
      <c r="AO2886" s="340"/>
      <c r="AS2886" s="340"/>
      <c r="AX2886" s="340"/>
      <c r="BB2886" s="340"/>
      <c r="BD2886" s="339"/>
    </row>
    <row r="2887" spans="7:56" s="338" customFormat="1">
      <c r="G2887" s="340"/>
      <c r="L2887" s="340"/>
      <c r="P2887" s="340"/>
      <c r="U2887" s="340"/>
      <c r="V2887" s="340"/>
      <c r="Z2887" s="340"/>
      <c r="AE2887" s="340"/>
      <c r="AI2887" s="340"/>
      <c r="AN2887" s="340"/>
      <c r="AO2887" s="340"/>
      <c r="AS2887" s="340"/>
      <c r="AX2887" s="340"/>
      <c r="BB2887" s="340"/>
      <c r="BD2887" s="339"/>
    </row>
    <row r="2888" spans="7:56" s="338" customFormat="1">
      <c r="G2888" s="340"/>
      <c r="L2888" s="340"/>
      <c r="P2888" s="340"/>
      <c r="U2888" s="340"/>
      <c r="V2888" s="340"/>
      <c r="Z2888" s="340"/>
      <c r="AE2888" s="340"/>
      <c r="AI2888" s="340"/>
      <c r="AN2888" s="340"/>
      <c r="AO2888" s="340"/>
      <c r="AS2888" s="340"/>
      <c r="AX2888" s="340"/>
      <c r="BB2888" s="340"/>
      <c r="BD2888" s="339"/>
    </row>
    <row r="2889" spans="7:56" s="338" customFormat="1">
      <c r="G2889" s="340"/>
      <c r="L2889" s="340"/>
      <c r="P2889" s="340"/>
      <c r="U2889" s="340"/>
      <c r="V2889" s="340"/>
      <c r="Z2889" s="340"/>
      <c r="AE2889" s="340"/>
      <c r="AI2889" s="340"/>
      <c r="AN2889" s="340"/>
      <c r="AO2889" s="340"/>
      <c r="AS2889" s="340"/>
      <c r="AX2889" s="340"/>
      <c r="BB2889" s="340"/>
      <c r="BD2889" s="339"/>
    </row>
    <row r="2890" spans="7:56" s="338" customFormat="1">
      <c r="G2890" s="340"/>
      <c r="L2890" s="340"/>
      <c r="P2890" s="340"/>
      <c r="U2890" s="340"/>
      <c r="V2890" s="340"/>
      <c r="Z2890" s="340"/>
      <c r="AE2890" s="340"/>
      <c r="AI2890" s="340"/>
      <c r="AN2890" s="340"/>
      <c r="AO2890" s="340"/>
      <c r="AS2890" s="340"/>
      <c r="AX2890" s="340"/>
      <c r="BB2890" s="340"/>
      <c r="BD2890" s="339"/>
    </row>
    <row r="2891" spans="7:56" s="338" customFormat="1">
      <c r="G2891" s="340"/>
      <c r="L2891" s="340"/>
      <c r="P2891" s="340"/>
      <c r="U2891" s="340"/>
      <c r="V2891" s="340"/>
      <c r="Z2891" s="340"/>
      <c r="AE2891" s="340"/>
      <c r="AI2891" s="340"/>
      <c r="AN2891" s="340"/>
      <c r="AO2891" s="340"/>
      <c r="AS2891" s="340"/>
      <c r="AX2891" s="340"/>
      <c r="BB2891" s="340"/>
      <c r="BD2891" s="339"/>
    </row>
    <row r="2892" spans="7:56" s="338" customFormat="1">
      <c r="G2892" s="340"/>
      <c r="L2892" s="340"/>
      <c r="P2892" s="340"/>
      <c r="U2892" s="340"/>
      <c r="V2892" s="340"/>
      <c r="Z2892" s="340"/>
      <c r="AE2892" s="340"/>
      <c r="AI2892" s="340"/>
      <c r="AN2892" s="340"/>
      <c r="AO2892" s="340"/>
      <c r="AS2892" s="340"/>
      <c r="AX2892" s="340"/>
      <c r="BB2892" s="340"/>
      <c r="BD2892" s="339"/>
    </row>
    <row r="2893" spans="7:56" s="338" customFormat="1">
      <c r="G2893" s="340"/>
      <c r="L2893" s="340"/>
      <c r="P2893" s="340"/>
      <c r="U2893" s="340"/>
      <c r="V2893" s="340"/>
      <c r="Z2893" s="340"/>
      <c r="AE2893" s="340"/>
      <c r="AI2893" s="340"/>
      <c r="AN2893" s="340"/>
      <c r="AO2893" s="340"/>
      <c r="AS2893" s="340"/>
      <c r="AX2893" s="340"/>
      <c r="BB2893" s="340"/>
      <c r="BD2893" s="339"/>
    </row>
    <row r="2894" spans="7:56" s="338" customFormat="1">
      <c r="G2894" s="340"/>
      <c r="L2894" s="340"/>
      <c r="P2894" s="340"/>
      <c r="U2894" s="340"/>
      <c r="V2894" s="340"/>
      <c r="Z2894" s="340"/>
      <c r="AE2894" s="340"/>
      <c r="AI2894" s="340"/>
      <c r="AN2894" s="340"/>
      <c r="AO2894" s="340"/>
      <c r="AS2894" s="340"/>
      <c r="AX2894" s="340"/>
      <c r="BB2894" s="340"/>
      <c r="BD2894" s="339"/>
    </row>
    <row r="2895" spans="7:56" s="338" customFormat="1">
      <c r="G2895" s="340"/>
      <c r="L2895" s="340"/>
      <c r="P2895" s="340"/>
      <c r="U2895" s="340"/>
      <c r="V2895" s="340"/>
      <c r="Z2895" s="340"/>
      <c r="AE2895" s="340"/>
      <c r="AI2895" s="340"/>
      <c r="AN2895" s="340"/>
      <c r="AO2895" s="340"/>
      <c r="AS2895" s="340"/>
      <c r="AX2895" s="340"/>
      <c r="BB2895" s="340"/>
      <c r="BD2895" s="339"/>
    </row>
    <row r="2896" spans="7:56" s="338" customFormat="1">
      <c r="G2896" s="340"/>
      <c r="L2896" s="340"/>
      <c r="P2896" s="340"/>
      <c r="U2896" s="340"/>
      <c r="V2896" s="340"/>
      <c r="Z2896" s="340"/>
      <c r="AE2896" s="340"/>
      <c r="AI2896" s="340"/>
      <c r="AN2896" s="340"/>
      <c r="AO2896" s="340"/>
      <c r="AS2896" s="340"/>
      <c r="AX2896" s="340"/>
      <c r="BB2896" s="340"/>
      <c r="BD2896" s="339"/>
    </row>
    <row r="2897" spans="7:56" s="338" customFormat="1">
      <c r="G2897" s="340"/>
      <c r="L2897" s="340"/>
      <c r="P2897" s="340"/>
      <c r="U2897" s="340"/>
      <c r="V2897" s="340"/>
      <c r="Z2897" s="340"/>
      <c r="AE2897" s="340"/>
      <c r="AI2897" s="340"/>
      <c r="AN2897" s="340"/>
      <c r="AO2897" s="340"/>
      <c r="AS2897" s="340"/>
      <c r="AX2897" s="340"/>
      <c r="BB2897" s="340"/>
      <c r="BD2897" s="339"/>
    </row>
    <row r="2898" spans="7:56" s="338" customFormat="1">
      <c r="G2898" s="340"/>
      <c r="L2898" s="340"/>
      <c r="P2898" s="340"/>
      <c r="U2898" s="340"/>
      <c r="V2898" s="340"/>
      <c r="Z2898" s="340"/>
      <c r="AE2898" s="340"/>
      <c r="AI2898" s="340"/>
      <c r="AN2898" s="340"/>
      <c r="AO2898" s="340"/>
      <c r="AS2898" s="340"/>
      <c r="AX2898" s="340"/>
      <c r="BB2898" s="340"/>
      <c r="BD2898" s="339"/>
    </row>
    <row r="2899" spans="7:56" s="338" customFormat="1">
      <c r="G2899" s="340"/>
      <c r="L2899" s="340"/>
      <c r="P2899" s="340"/>
      <c r="U2899" s="340"/>
      <c r="V2899" s="340"/>
      <c r="Z2899" s="340"/>
      <c r="AE2899" s="340"/>
      <c r="AI2899" s="340"/>
      <c r="AN2899" s="340"/>
      <c r="AO2899" s="340"/>
      <c r="AS2899" s="340"/>
      <c r="AX2899" s="340"/>
      <c r="BB2899" s="340"/>
      <c r="BD2899" s="339"/>
    </row>
    <row r="2900" spans="7:56" s="338" customFormat="1">
      <c r="G2900" s="340"/>
      <c r="L2900" s="340"/>
      <c r="P2900" s="340"/>
      <c r="U2900" s="340"/>
      <c r="V2900" s="340"/>
      <c r="Z2900" s="340"/>
      <c r="AE2900" s="340"/>
      <c r="AI2900" s="340"/>
      <c r="AN2900" s="340"/>
      <c r="AO2900" s="340"/>
      <c r="AS2900" s="340"/>
      <c r="AX2900" s="340"/>
      <c r="BB2900" s="340"/>
      <c r="BD2900" s="339"/>
    </row>
    <row r="2901" spans="7:56" s="338" customFormat="1">
      <c r="G2901" s="340"/>
      <c r="L2901" s="340"/>
      <c r="P2901" s="340"/>
      <c r="U2901" s="340"/>
      <c r="V2901" s="340"/>
      <c r="Z2901" s="340"/>
      <c r="AE2901" s="340"/>
      <c r="AI2901" s="340"/>
      <c r="AN2901" s="340"/>
      <c r="AO2901" s="340"/>
      <c r="AS2901" s="340"/>
      <c r="AX2901" s="340"/>
      <c r="BB2901" s="340"/>
      <c r="BD2901" s="339"/>
    </row>
    <row r="2902" spans="7:56" s="338" customFormat="1">
      <c r="G2902" s="340"/>
      <c r="L2902" s="340"/>
      <c r="P2902" s="340"/>
      <c r="U2902" s="340"/>
      <c r="V2902" s="340"/>
      <c r="Z2902" s="340"/>
      <c r="AE2902" s="340"/>
      <c r="AI2902" s="340"/>
      <c r="AN2902" s="340"/>
      <c r="AO2902" s="340"/>
      <c r="AS2902" s="340"/>
      <c r="AX2902" s="340"/>
      <c r="BB2902" s="340"/>
      <c r="BD2902" s="339"/>
    </row>
    <row r="2903" spans="7:56" s="338" customFormat="1">
      <c r="G2903" s="340"/>
      <c r="L2903" s="340"/>
      <c r="P2903" s="340"/>
      <c r="U2903" s="340"/>
      <c r="V2903" s="340"/>
      <c r="Z2903" s="340"/>
      <c r="AE2903" s="340"/>
      <c r="AI2903" s="340"/>
      <c r="AN2903" s="340"/>
      <c r="AO2903" s="340"/>
      <c r="AS2903" s="340"/>
      <c r="AX2903" s="340"/>
      <c r="BB2903" s="340"/>
      <c r="BD2903" s="339"/>
    </row>
    <row r="2904" spans="7:56" s="338" customFormat="1">
      <c r="G2904" s="340"/>
      <c r="L2904" s="340"/>
      <c r="P2904" s="340"/>
      <c r="U2904" s="340"/>
      <c r="V2904" s="340"/>
      <c r="Z2904" s="340"/>
      <c r="AE2904" s="340"/>
      <c r="AI2904" s="340"/>
      <c r="AN2904" s="340"/>
      <c r="AO2904" s="340"/>
      <c r="AS2904" s="340"/>
      <c r="AX2904" s="340"/>
      <c r="BB2904" s="340"/>
      <c r="BD2904" s="339"/>
    </row>
    <row r="2905" spans="7:56" s="338" customFormat="1">
      <c r="G2905" s="340"/>
      <c r="L2905" s="340"/>
      <c r="P2905" s="340"/>
      <c r="U2905" s="340"/>
      <c r="V2905" s="340"/>
      <c r="Z2905" s="340"/>
      <c r="AE2905" s="340"/>
      <c r="AI2905" s="340"/>
      <c r="AN2905" s="340"/>
      <c r="AO2905" s="340"/>
      <c r="AS2905" s="340"/>
      <c r="AX2905" s="340"/>
      <c r="BB2905" s="340"/>
      <c r="BD2905" s="339"/>
    </row>
    <row r="2906" spans="7:56" s="338" customFormat="1">
      <c r="G2906" s="340"/>
      <c r="L2906" s="340"/>
      <c r="P2906" s="340"/>
      <c r="U2906" s="340"/>
      <c r="V2906" s="340"/>
      <c r="Z2906" s="340"/>
      <c r="AE2906" s="340"/>
      <c r="AI2906" s="340"/>
      <c r="AN2906" s="340"/>
      <c r="AO2906" s="340"/>
      <c r="AS2906" s="340"/>
      <c r="AX2906" s="340"/>
      <c r="BB2906" s="340"/>
      <c r="BD2906" s="339"/>
    </row>
    <row r="2907" spans="7:56" s="338" customFormat="1">
      <c r="G2907" s="340"/>
      <c r="L2907" s="340"/>
      <c r="P2907" s="340"/>
      <c r="U2907" s="340"/>
      <c r="V2907" s="340"/>
      <c r="Z2907" s="340"/>
      <c r="AE2907" s="340"/>
      <c r="AI2907" s="340"/>
      <c r="AN2907" s="340"/>
      <c r="AO2907" s="340"/>
      <c r="AS2907" s="340"/>
      <c r="AX2907" s="340"/>
      <c r="BB2907" s="340"/>
      <c r="BD2907" s="339"/>
    </row>
    <row r="2908" spans="7:56" s="338" customFormat="1">
      <c r="G2908" s="340"/>
      <c r="L2908" s="340"/>
      <c r="P2908" s="340"/>
      <c r="U2908" s="340"/>
      <c r="V2908" s="340"/>
      <c r="Z2908" s="340"/>
      <c r="AE2908" s="340"/>
      <c r="AI2908" s="340"/>
      <c r="AN2908" s="340"/>
      <c r="AO2908" s="340"/>
      <c r="AS2908" s="340"/>
      <c r="AX2908" s="340"/>
      <c r="BB2908" s="340"/>
      <c r="BD2908" s="339"/>
    </row>
    <row r="2909" spans="7:56" s="338" customFormat="1">
      <c r="G2909" s="340"/>
      <c r="L2909" s="340"/>
      <c r="P2909" s="340"/>
      <c r="U2909" s="340"/>
      <c r="V2909" s="340"/>
      <c r="Z2909" s="340"/>
      <c r="AE2909" s="340"/>
      <c r="AI2909" s="340"/>
      <c r="AN2909" s="340"/>
      <c r="AO2909" s="340"/>
      <c r="AS2909" s="340"/>
      <c r="AX2909" s="340"/>
      <c r="BB2909" s="340"/>
      <c r="BD2909" s="339"/>
    </row>
    <row r="2910" spans="7:56" s="338" customFormat="1">
      <c r="G2910" s="340"/>
      <c r="L2910" s="340"/>
      <c r="P2910" s="340"/>
      <c r="U2910" s="340"/>
      <c r="V2910" s="340"/>
      <c r="Z2910" s="340"/>
      <c r="AE2910" s="340"/>
      <c r="AI2910" s="340"/>
      <c r="AN2910" s="340"/>
      <c r="AO2910" s="340"/>
      <c r="AS2910" s="340"/>
      <c r="AX2910" s="340"/>
      <c r="BB2910" s="340"/>
      <c r="BD2910" s="339"/>
    </row>
    <row r="2911" spans="7:56" s="338" customFormat="1">
      <c r="G2911" s="340"/>
      <c r="L2911" s="340"/>
      <c r="P2911" s="340"/>
      <c r="U2911" s="340"/>
      <c r="V2911" s="340"/>
      <c r="Z2911" s="340"/>
      <c r="AE2911" s="340"/>
      <c r="AI2911" s="340"/>
      <c r="AN2911" s="340"/>
      <c r="AO2911" s="340"/>
      <c r="AS2911" s="340"/>
      <c r="AX2911" s="340"/>
      <c r="BB2911" s="340"/>
      <c r="BD2911" s="339"/>
    </row>
    <row r="2912" spans="7:56" s="338" customFormat="1">
      <c r="G2912" s="340"/>
      <c r="L2912" s="340"/>
      <c r="P2912" s="340"/>
      <c r="U2912" s="340"/>
      <c r="V2912" s="340"/>
      <c r="Z2912" s="340"/>
      <c r="AE2912" s="340"/>
      <c r="AI2912" s="340"/>
      <c r="AN2912" s="340"/>
      <c r="AO2912" s="340"/>
      <c r="AS2912" s="340"/>
      <c r="AX2912" s="340"/>
      <c r="BB2912" s="340"/>
      <c r="BD2912" s="339"/>
    </row>
    <row r="2913" spans="7:56" s="338" customFormat="1">
      <c r="G2913" s="340"/>
      <c r="L2913" s="340"/>
      <c r="P2913" s="340"/>
      <c r="U2913" s="340"/>
      <c r="V2913" s="340"/>
      <c r="Z2913" s="340"/>
      <c r="AE2913" s="340"/>
      <c r="AI2913" s="340"/>
      <c r="AN2913" s="340"/>
      <c r="AO2913" s="340"/>
      <c r="AS2913" s="340"/>
      <c r="AX2913" s="340"/>
      <c r="BB2913" s="340"/>
      <c r="BD2913" s="339"/>
    </row>
    <row r="2914" spans="7:56" s="338" customFormat="1">
      <c r="G2914" s="340"/>
      <c r="L2914" s="340"/>
      <c r="P2914" s="340"/>
      <c r="U2914" s="340"/>
      <c r="V2914" s="340"/>
      <c r="Z2914" s="340"/>
      <c r="AE2914" s="340"/>
      <c r="AI2914" s="340"/>
      <c r="AN2914" s="340"/>
      <c r="AO2914" s="340"/>
      <c r="AS2914" s="340"/>
      <c r="AX2914" s="340"/>
      <c r="BB2914" s="340"/>
      <c r="BD2914" s="339"/>
    </row>
    <row r="2915" spans="7:56" s="338" customFormat="1">
      <c r="G2915" s="340"/>
      <c r="L2915" s="340"/>
      <c r="P2915" s="340"/>
      <c r="U2915" s="340"/>
      <c r="V2915" s="340"/>
      <c r="Z2915" s="340"/>
      <c r="AE2915" s="340"/>
      <c r="AI2915" s="340"/>
      <c r="AN2915" s="340"/>
      <c r="AO2915" s="340"/>
      <c r="AS2915" s="340"/>
      <c r="AX2915" s="340"/>
      <c r="BB2915" s="340"/>
      <c r="BD2915" s="339"/>
    </row>
    <row r="2916" spans="7:56" s="338" customFormat="1">
      <c r="G2916" s="340"/>
      <c r="L2916" s="340"/>
      <c r="P2916" s="340"/>
      <c r="U2916" s="340"/>
      <c r="V2916" s="340"/>
      <c r="Z2916" s="340"/>
      <c r="AE2916" s="340"/>
      <c r="AI2916" s="340"/>
      <c r="AN2916" s="340"/>
      <c r="AO2916" s="340"/>
      <c r="AS2916" s="340"/>
      <c r="AX2916" s="340"/>
      <c r="BB2916" s="340"/>
      <c r="BD2916" s="339"/>
    </row>
    <row r="2917" spans="7:56" s="338" customFormat="1">
      <c r="G2917" s="340"/>
      <c r="L2917" s="340"/>
      <c r="P2917" s="340"/>
      <c r="U2917" s="340"/>
      <c r="V2917" s="340"/>
      <c r="Z2917" s="340"/>
      <c r="AE2917" s="340"/>
      <c r="AI2917" s="340"/>
      <c r="AN2917" s="340"/>
      <c r="AO2917" s="340"/>
      <c r="AS2917" s="340"/>
      <c r="AX2917" s="340"/>
      <c r="BB2917" s="340"/>
      <c r="BD2917" s="339"/>
    </row>
    <row r="2918" spans="7:56" s="338" customFormat="1">
      <c r="G2918" s="340"/>
      <c r="L2918" s="340"/>
      <c r="P2918" s="340"/>
      <c r="U2918" s="340"/>
      <c r="V2918" s="340"/>
      <c r="Z2918" s="340"/>
      <c r="AE2918" s="340"/>
      <c r="AI2918" s="340"/>
      <c r="AN2918" s="340"/>
      <c r="AO2918" s="340"/>
      <c r="AS2918" s="340"/>
      <c r="AX2918" s="340"/>
      <c r="BB2918" s="340"/>
      <c r="BD2918" s="339"/>
    </row>
    <row r="2919" spans="7:56" s="338" customFormat="1">
      <c r="G2919" s="340"/>
      <c r="L2919" s="340"/>
      <c r="P2919" s="340"/>
      <c r="U2919" s="340"/>
      <c r="V2919" s="340"/>
      <c r="Z2919" s="340"/>
      <c r="AE2919" s="340"/>
      <c r="AI2919" s="340"/>
      <c r="AN2919" s="340"/>
      <c r="AO2919" s="340"/>
      <c r="AS2919" s="340"/>
      <c r="AX2919" s="340"/>
      <c r="BB2919" s="340"/>
      <c r="BD2919" s="339"/>
    </row>
    <row r="2920" spans="7:56" s="338" customFormat="1">
      <c r="G2920" s="340"/>
      <c r="L2920" s="340"/>
      <c r="P2920" s="340"/>
      <c r="U2920" s="340"/>
      <c r="V2920" s="340"/>
      <c r="Z2920" s="340"/>
      <c r="AE2920" s="340"/>
      <c r="AI2920" s="340"/>
      <c r="AN2920" s="340"/>
      <c r="AO2920" s="340"/>
      <c r="AS2920" s="340"/>
      <c r="AX2920" s="340"/>
      <c r="BB2920" s="340"/>
      <c r="BD2920" s="339"/>
    </row>
    <row r="2921" spans="7:56" s="338" customFormat="1">
      <c r="G2921" s="340"/>
      <c r="L2921" s="340"/>
      <c r="P2921" s="340"/>
      <c r="U2921" s="340"/>
      <c r="V2921" s="340"/>
      <c r="Z2921" s="340"/>
      <c r="AE2921" s="340"/>
      <c r="AI2921" s="340"/>
      <c r="AN2921" s="340"/>
      <c r="AO2921" s="340"/>
      <c r="AS2921" s="340"/>
      <c r="AX2921" s="340"/>
      <c r="BB2921" s="340"/>
      <c r="BD2921" s="339"/>
    </row>
    <row r="2922" spans="7:56" s="338" customFormat="1">
      <c r="G2922" s="340"/>
      <c r="L2922" s="340"/>
      <c r="P2922" s="340"/>
      <c r="U2922" s="340"/>
      <c r="V2922" s="340"/>
      <c r="Z2922" s="340"/>
      <c r="AE2922" s="340"/>
      <c r="AI2922" s="340"/>
      <c r="AN2922" s="340"/>
      <c r="AO2922" s="340"/>
      <c r="AS2922" s="340"/>
      <c r="AX2922" s="340"/>
      <c r="BB2922" s="340"/>
      <c r="BD2922" s="339"/>
    </row>
    <row r="2923" spans="7:56" s="338" customFormat="1">
      <c r="G2923" s="340"/>
      <c r="L2923" s="340"/>
      <c r="P2923" s="340"/>
      <c r="U2923" s="340"/>
      <c r="V2923" s="340"/>
      <c r="Z2923" s="340"/>
      <c r="AE2923" s="340"/>
      <c r="AI2923" s="340"/>
      <c r="AN2923" s="340"/>
      <c r="AO2923" s="340"/>
      <c r="AS2923" s="340"/>
      <c r="AX2923" s="340"/>
      <c r="BB2923" s="340"/>
      <c r="BD2923" s="339"/>
    </row>
    <row r="2924" spans="7:56" s="338" customFormat="1">
      <c r="G2924" s="340"/>
      <c r="L2924" s="340"/>
      <c r="P2924" s="340"/>
      <c r="U2924" s="340"/>
      <c r="V2924" s="340"/>
      <c r="Z2924" s="340"/>
      <c r="AE2924" s="340"/>
      <c r="AI2924" s="340"/>
      <c r="AN2924" s="340"/>
      <c r="AO2924" s="340"/>
      <c r="AS2924" s="340"/>
      <c r="AX2924" s="340"/>
      <c r="BB2924" s="340"/>
      <c r="BD2924" s="339"/>
    </row>
    <row r="2925" spans="7:56" s="338" customFormat="1">
      <c r="G2925" s="340"/>
      <c r="L2925" s="340"/>
      <c r="P2925" s="340"/>
      <c r="U2925" s="340"/>
      <c r="V2925" s="340"/>
      <c r="Z2925" s="340"/>
      <c r="AE2925" s="340"/>
      <c r="AI2925" s="340"/>
      <c r="AN2925" s="340"/>
      <c r="AO2925" s="340"/>
      <c r="AS2925" s="340"/>
      <c r="AX2925" s="340"/>
      <c r="BB2925" s="340"/>
      <c r="BD2925" s="339"/>
    </row>
    <row r="2926" spans="7:56" s="338" customFormat="1">
      <c r="G2926" s="340"/>
      <c r="L2926" s="340"/>
      <c r="P2926" s="340"/>
      <c r="U2926" s="340"/>
      <c r="V2926" s="340"/>
      <c r="Z2926" s="340"/>
      <c r="AE2926" s="340"/>
      <c r="AI2926" s="340"/>
      <c r="AN2926" s="340"/>
      <c r="AO2926" s="340"/>
      <c r="AS2926" s="340"/>
      <c r="AX2926" s="340"/>
      <c r="BB2926" s="340"/>
      <c r="BD2926" s="339"/>
    </row>
    <row r="2927" spans="7:56" s="338" customFormat="1">
      <c r="G2927" s="340"/>
      <c r="L2927" s="340"/>
      <c r="P2927" s="340"/>
      <c r="U2927" s="340"/>
      <c r="V2927" s="340"/>
      <c r="Z2927" s="340"/>
      <c r="AE2927" s="340"/>
      <c r="AI2927" s="340"/>
      <c r="AN2927" s="340"/>
      <c r="AO2927" s="340"/>
      <c r="AS2927" s="340"/>
      <c r="AX2927" s="340"/>
      <c r="BB2927" s="340"/>
      <c r="BD2927" s="339"/>
    </row>
    <row r="2928" spans="7:56" s="338" customFormat="1">
      <c r="G2928" s="340"/>
      <c r="L2928" s="340"/>
      <c r="P2928" s="340"/>
      <c r="U2928" s="340"/>
      <c r="V2928" s="340"/>
      <c r="Z2928" s="340"/>
      <c r="AE2928" s="340"/>
      <c r="AI2928" s="340"/>
      <c r="AN2928" s="340"/>
      <c r="AO2928" s="340"/>
      <c r="AS2928" s="340"/>
      <c r="AX2928" s="340"/>
      <c r="BB2928" s="340"/>
      <c r="BD2928" s="339"/>
    </row>
    <row r="2929" spans="7:56" s="338" customFormat="1">
      <c r="G2929" s="340"/>
      <c r="L2929" s="340"/>
      <c r="P2929" s="340"/>
      <c r="U2929" s="340"/>
      <c r="V2929" s="340"/>
      <c r="Z2929" s="340"/>
      <c r="AE2929" s="340"/>
      <c r="AI2929" s="340"/>
      <c r="AN2929" s="340"/>
      <c r="AO2929" s="340"/>
      <c r="AS2929" s="340"/>
      <c r="AX2929" s="340"/>
      <c r="BB2929" s="340"/>
      <c r="BD2929" s="339"/>
    </row>
    <row r="2930" spans="7:56" s="338" customFormat="1">
      <c r="G2930" s="340"/>
      <c r="L2930" s="340"/>
      <c r="P2930" s="340"/>
      <c r="U2930" s="340"/>
      <c r="V2930" s="340"/>
      <c r="Z2930" s="340"/>
      <c r="AE2930" s="340"/>
      <c r="AI2930" s="340"/>
      <c r="AN2930" s="340"/>
      <c r="AO2930" s="340"/>
      <c r="AS2930" s="340"/>
      <c r="AX2930" s="340"/>
      <c r="BB2930" s="340"/>
      <c r="BD2930" s="339"/>
    </row>
    <row r="2931" spans="7:56" s="338" customFormat="1">
      <c r="G2931" s="340"/>
      <c r="L2931" s="340"/>
      <c r="P2931" s="340"/>
      <c r="U2931" s="340"/>
      <c r="V2931" s="340"/>
      <c r="Z2931" s="340"/>
      <c r="AE2931" s="340"/>
      <c r="AI2931" s="340"/>
      <c r="AN2931" s="340"/>
      <c r="AO2931" s="340"/>
      <c r="AS2931" s="340"/>
      <c r="AX2931" s="340"/>
      <c r="BB2931" s="340"/>
      <c r="BD2931" s="339"/>
    </row>
    <row r="2932" spans="7:56" s="338" customFormat="1">
      <c r="G2932" s="340"/>
      <c r="L2932" s="340"/>
      <c r="P2932" s="340"/>
      <c r="U2932" s="340"/>
      <c r="V2932" s="340"/>
      <c r="Z2932" s="340"/>
      <c r="AE2932" s="340"/>
      <c r="AI2932" s="340"/>
      <c r="AN2932" s="340"/>
      <c r="AO2932" s="340"/>
      <c r="AS2932" s="340"/>
      <c r="AX2932" s="340"/>
      <c r="BB2932" s="340"/>
      <c r="BD2932" s="339"/>
    </row>
    <row r="2933" spans="7:56" s="338" customFormat="1">
      <c r="G2933" s="340"/>
      <c r="L2933" s="340"/>
      <c r="P2933" s="340"/>
      <c r="U2933" s="340"/>
      <c r="V2933" s="340"/>
      <c r="Z2933" s="340"/>
      <c r="AE2933" s="340"/>
      <c r="AI2933" s="340"/>
      <c r="AN2933" s="340"/>
      <c r="AO2933" s="340"/>
      <c r="AS2933" s="340"/>
      <c r="AX2933" s="340"/>
      <c r="BB2933" s="340"/>
      <c r="BD2933" s="339"/>
    </row>
    <row r="2934" spans="7:56" s="338" customFormat="1">
      <c r="G2934" s="340"/>
      <c r="L2934" s="340"/>
      <c r="P2934" s="340"/>
      <c r="U2934" s="340"/>
      <c r="V2934" s="340"/>
      <c r="Z2934" s="340"/>
      <c r="AE2934" s="340"/>
      <c r="AI2934" s="340"/>
      <c r="AN2934" s="340"/>
      <c r="AO2934" s="340"/>
      <c r="AS2934" s="340"/>
      <c r="AX2934" s="340"/>
      <c r="BB2934" s="340"/>
      <c r="BD2934" s="339"/>
    </row>
    <row r="2935" spans="7:56" s="338" customFormat="1">
      <c r="G2935" s="340"/>
      <c r="L2935" s="340"/>
      <c r="P2935" s="340"/>
      <c r="U2935" s="340"/>
      <c r="V2935" s="340"/>
      <c r="Z2935" s="340"/>
      <c r="AE2935" s="340"/>
      <c r="AI2935" s="340"/>
      <c r="AN2935" s="340"/>
      <c r="AO2935" s="340"/>
      <c r="AS2935" s="340"/>
      <c r="AX2935" s="340"/>
      <c r="BB2935" s="340"/>
      <c r="BD2935" s="339"/>
    </row>
    <row r="2936" spans="7:56" s="338" customFormat="1">
      <c r="G2936" s="340"/>
      <c r="L2936" s="340"/>
      <c r="P2936" s="340"/>
      <c r="U2936" s="340"/>
      <c r="V2936" s="340"/>
      <c r="Z2936" s="340"/>
      <c r="AE2936" s="340"/>
      <c r="AI2936" s="340"/>
      <c r="AN2936" s="340"/>
      <c r="AO2936" s="340"/>
      <c r="AS2936" s="340"/>
      <c r="AX2936" s="340"/>
      <c r="BB2936" s="340"/>
      <c r="BD2936" s="339"/>
    </row>
    <row r="2937" spans="7:56" s="338" customFormat="1">
      <c r="G2937" s="340"/>
      <c r="L2937" s="340"/>
      <c r="P2937" s="340"/>
      <c r="U2937" s="340"/>
      <c r="V2937" s="340"/>
      <c r="Z2937" s="340"/>
      <c r="AE2937" s="340"/>
      <c r="AI2937" s="340"/>
      <c r="AN2937" s="340"/>
      <c r="AO2937" s="340"/>
      <c r="AS2937" s="340"/>
      <c r="AX2937" s="340"/>
      <c r="BB2937" s="340"/>
      <c r="BD2937" s="339"/>
    </row>
    <row r="2938" spans="7:56" s="338" customFormat="1">
      <c r="G2938" s="340"/>
      <c r="L2938" s="340"/>
      <c r="P2938" s="340"/>
      <c r="U2938" s="340"/>
      <c r="V2938" s="340"/>
      <c r="Z2938" s="340"/>
      <c r="AE2938" s="340"/>
      <c r="AI2938" s="340"/>
      <c r="AN2938" s="340"/>
      <c r="AO2938" s="340"/>
      <c r="AS2938" s="340"/>
      <c r="AX2938" s="340"/>
      <c r="BB2938" s="340"/>
      <c r="BD2938" s="339"/>
    </row>
    <row r="2939" spans="7:56" s="338" customFormat="1">
      <c r="G2939" s="340"/>
      <c r="L2939" s="340"/>
      <c r="P2939" s="340"/>
      <c r="U2939" s="340"/>
      <c r="V2939" s="340"/>
      <c r="Z2939" s="340"/>
      <c r="AE2939" s="340"/>
      <c r="AI2939" s="340"/>
      <c r="AN2939" s="340"/>
      <c r="AO2939" s="340"/>
      <c r="AS2939" s="340"/>
      <c r="AX2939" s="340"/>
      <c r="BB2939" s="340"/>
      <c r="BD2939" s="339"/>
    </row>
    <row r="2940" spans="7:56" s="338" customFormat="1">
      <c r="G2940" s="340"/>
      <c r="L2940" s="340"/>
      <c r="P2940" s="340"/>
      <c r="U2940" s="340"/>
      <c r="V2940" s="340"/>
      <c r="Z2940" s="340"/>
      <c r="AE2940" s="340"/>
      <c r="AI2940" s="340"/>
      <c r="AN2940" s="340"/>
      <c r="AO2940" s="340"/>
      <c r="AS2940" s="340"/>
      <c r="AX2940" s="340"/>
      <c r="BB2940" s="340"/>
      <c r="BD2940" s="339"/>
    </row>
    <row r="2941" spans="7:56" s="338" customFormat="1">
      <c r="G2941" s="340"/>
      <c r="L2941" s="340"/>
      <c r="P2941" s="340"/>
      <c r="U2941" s="340"/>
      <c r="V2941" s="340"/>
      <c r="Z2941" s="340"/>
      <c r="AE2941" s="340"/>
      <c r="AI2941" s="340"/>
      <c r="AN2941" s="340"/>
      <c r="AO2941" s="340"/>
      <c r="AS2941" s="340"/>
      <c r="AX2941" s="340"/>
      <c r="BB2941" s="340"/>
      <c r="BD2941" s="339"/>
    </row>
    <row r="2942" spans="7:56" s="338" customFormat="1">
      <c r="G2942" s="340"/>
      <c r="L2942" s="340"/>
      <c r="P2942" s="340"/>
      <c r="U2942" s="340"/>
      <c r="V2942" s="340"/>
      <c r="Z2942" s="340"/>
      <c r="AE2942" s="340"/>
      <c r="AI2942" s="340"/>
      <c r="AN2942" s="340"/>
      <c r="AO2942" s="340"/>
      <c r="AS2942" s="340"/>
      <c r="AX2942" s="340"/>
      <c r="BB2942" s="340"/>
      <c r="BD2942" s="339"/>
    </row>
    <row r="2943" spans="7:56" s="338" customFormat="1">
      <c r="G2943" s="340"/>
      <c r="L2943" s="340"/>
      <c r="P2943" s="340"/>
      <c r="U2943" s="340"/>
      <c r="V2943" s="340"/>
      <c r="Z2943" s="340"/>
      <c r="AE2943" s="340"/>
      <c r="AI2943" s="340"/>
      <c r="AN2943" s="340"/>
      <c r="AO2943" s="340"/>
      <c r="AS2943" s="340"/>
      <c r="AX2943" s="340"/>
      <c r="BB2943" s="340"/>
      <c r="BD2943" s="339"/>
    </row>
    <row r="2944" spans="7:56" s="338" customFormat="1">
      <c r="G2944" s="340"/>
      <c r="L2944" s="340"/>
      <c r="P2944" s="340"/>
      <c r="U2944" s="340"/>
      <c r="V2944" s="340"/>
      <c r="Z2944" s="340"/>
      <c r="AE2944" s="340"/>
      <c r="AI2944" s="340"/>
      <c r="AN2944" s="340"/>
      <c r="AO2944" s="340"/>
      <c r="AS2944" s="340"/>
      <c r="AX2944" s="340"/>
      <c r="BB2944" s="340"/>
      <c r="BD2944" s="339"/>
    </row>
    <row r="2945" spans="7:56" s="338" customFormat="1">
      <c r="G2945" s="340"/>
      <c r="L2945" s="340"/>
      <c r="P2945" s="340"/>
      <c r="U2945" s="340"/>
      <c r="V2945" s="340"/>
      <c r="Z2945" s="340"/>
      <c r="AE2945" s="340"/>
      <c r="AI2945" s="340"/>
      <c r="AN2945" s="340"/>
      <c r="AO2945" s="340"/>
      <c r="AS2945" s="340"/>
      <c r="AX2945" s="340"/>
      <c r="BB2945" s="340"/>
      <c r="BD2945" s="339"/>
    </row>
    <row r="2946" spans="7:56" s="338" customFormat="1">
      <c r="G2946" s="340"/>
      <c r="L2946" s="340"/>
      <c r="P2946" s="340"/>
      <c r="U2946" s="340"/>
      <c r="V2946" s="340"/>
      <c r="Z2946" s="340"/>
      <c r="AE2946" s="340"/>
      <c r="AI2946" s="340"/>
      <c r="AN2946" s="340"/>
      <c r="AO2946" s="340"/>
      <c r="AS2946" s="340"/>
      <c r="AX2946" s="340"/>
      <c r="BB2946" s="340"/>
      <c r="BD2946" s="339"/>
    </row>
    <row r="2947" spans="7:56" s="338" customFormat="1">
      <c r="G2947" s="340"/>
      <c r="L2947" s="340"/>
      <c r="P2947" s="340"/>
      <c r="U2947" s="340"/>
      <c r="V2947" s="340"/>
      <c r="Z2947" s="340"/>
      <c r="AE2947" s="340"/>
      <c r="AI2947" s="340"/>
      <c r="AN2947" s="340"/>
      <c r="AO2947" s="340"/>
      <c r="AS2947" s="340"/>
      <c r="AX2947" s="340"/>
      <c r="BB2947" s="340"/>
      <c r="BD2947" s="339"/>
    </row>
    <row r="2948" spans="7:56" s="338" customFormat="1">
      <c r="G2948" s="340"/>
      <c r="L2948" s="340"/>
      <c r="P2948" s="340"/>
      <c r="U2948" s="340"/>
      <c r="V2948" s="340"/>
      <c r="Z2948" s="340"/>
      <c r="AE2948" s="340"/>
      <c r="AI2948" s="340"/>
      <c r="AN2948" s="340"/>
      <c r="AO2948" s="340"/>
      <c r="AS2948" s="340"/>
      <c r="AX2948" s="340"/>
      <c r="BB2948" s="340"/>
      <c r="BD2948" s="339"/>
    </row>
    <row r="2949" spans="7:56" s="338" customFormat="1">
      <c r="G2949" s="340"/>
      <c r="L2949" s="340"/>
      <c r="P2949" s="340"/>
      <c r="U2949" s="340"/>
      <c r="V2949" s="340"/>
      <c r="Z2949" s="340"/>
      <c r="AE2949" s="340"/>
      <c r="AI2949" s="340"/>
      <c r="AN2949" s="340"/>
      <c r="AO2949" s="340"/>
      <c r="AS2949" s="340"/>
      <c r="AX2949" s="340"/>
      <c r="BB2949" s="340"/>
      <c r="BD2949" s="339"/>
    </row>
    <row r="2950" spans="7:56" s="338" customFormat="1">
      <c r="G2950" s="340"/>
      <c r="L2950" s="340"/>
      <c r="P2950" s="340"/>
      <c r="U2950" s="340"/>
      <c r="V2950" s="340"/>
      <c r="Z2950" s="340"/>
      <c r="AE2950" s="340"/>
      <c r="AI2950" s="340"/>
      <c r="AN2950" s="340"/>
      <c r="AO2950" s="340"/>
      <c r="AS2950" s="340"/>
      <c r="AX2950" s="340"/>
      <c r="BB2950" s="340"/>
      <c r="BD2950" s="339"/>
    </row>
    <row r="2951" spans="7:56" s="338" customFormat="1">
      <c r="G2951" s="340"/>
      <c r="L2951" s="340"/>
      <c r="P2951" s="340"/>
      <c r="U2951" s="340"/>
      <c r="V2951" s="340"/>
      <c r="Z2951" s="340"/>
      <c r="AE2951" s="340"/>
      <c r="AI2951" s="340"/>
      <c r="AN2951" s="340"/>
      <c r="AO2951" s="340"/>
      <c r="AS2951" s="340"/>
      <c r="AX2951" s="340"/>
      <c r="BB2951" s="340"/>
      <c r="BD2951" s="339"/>
    </row>
    <row r="2952" spans="7:56" s="338" customFormat="1">
      <c r="G2952" s="340"/>
      <c r="L2952" s="340"/>
      <c r="P2952" s="340"/>
      <c r="U2952" s="340"/>
      <c r="V2952" s="340"/>
      <c r="Z2952" s="340"/>
      <c r="AE2952" s="340"/>
      <c r="AI2952" s="340"/>
      <c r="AN2952" s="340"/>
      <c r="AO2952" s="340"/>
      <c r="AS2952" s="340"/>
      <c r="AX2952" s="340"/>
      <c r="BB2952" s="340"/>
      <c r="BD2952" s="339"/>
    </row>
    <row r="2953" spans="7:56" s="338" customFormat="1">
      <c r="G2953" s="340"/>
      <c r="L2953" s="340"/>
      <c r="P2953" s="340"/>
      <c r="U2953" s="340"/>
      <c r="V2953" s="340"/>
      <c r="Z2953" s="340"/>
      <c r="AE2953" s="340"/>
      <c r="AI2953" s="340"/>
      <c r="AN2953" s="340"/>
      <c r="AO2953" s="340"/>
      <c r="AS2953" s="340"/>
      <c r="AX2953" s="340"/>
      <c r="BB2953" s="340"/>
      <c r="BD2953" s="339"/>
    </row>
    <row r="2954" spans="7:56" s="338" customFormat="1">
      <c r="G2954" s="340"/>
      <c r="L2954" s="340"/>
      <c r="P2954" s="340"/>
      <c r="U2954" s="340"/>
      <c r="V2954" s="340"/>
      <c r="Z2954" s="340"/>
      <c r="AE2954" s="340"/>
      <c r="AI2954" s="340"/>
      <c r="AN2954" s="340"/>
      <c r="AO2954" s="340"/>
      <c r="AS2954" s="340"/>
      <c r="AX2954" s="340"/>
      <c r="BB2954" s="340"/>
      <c r="BD2954" s="339"/>
    </row>
    <row r="2955" spans="7:56" s="338" customFormat="1">
      <c r="G2955" s="340"/>
      <c r="L2955" s="340"/>
      <c r="P2955" s="340"/>
      <c r="U2955" s="340"/>
      <c r="V2955" s="340"/>
      <c r="Z2955" s="340"/>
      <c r="AE2955" s="340"/>
      <c r="AI2955" s="340"/>
      <c r="AN2955" s="340"/>
      <c r="AO2955" s="340"/>
      <c r="AS2955" s="340"/>
      <c r="AX2955" s="340"/>
      <c r="BB2955" s="340"/>
      <c r="BD2955" s="339"/>
    </row>
    <row r="2956" spans="7:56" s="338" customFormat="1">
      <c r="G2956" s="340"/>
      <c r="L2956" s="340"/>
      <c r="P2956" s="340"/>
      <c r="U2956" s="340"/>
      <c r="V2956" s="340"/>
      <c r="Z2956" s="340"/>
      <c r="AE2956" s="340"/>
      <c r="AI2956" s="340"/>
      <c r="AN2956" s="340"/>
      <c r="AO2956" s="340"/>
      <c r="AS2956" s="340"/>
      <c r="AX2956" s="340"/>
      <c r="BB2956" s="340"/>
      <c r="BD2956" s="339"/>
    </row>
    <row r="2957" spans="7:56" s="338" customFormat="1">
      <c r="G2957" s="340"/>
      <c r="L2957" s="340"/>
      <c r="P2957" s="340"/>
      <c r="U2957" s="340"/>
      <c r="V2957" s="340"/>
      <c r="Z2957" s="340"/>
      <c r="AE2957" s="340"/>
      <c r="AI2957" s="340"/>
      <c r="AN2957" s="340"/>
      <c r="AO2957" s="340"/>
      <c r="AS2957" s="340"/>
      <c r="AX2957" s="340"/>
      <c r="BB2957" s="340"/>
      <c r="BD2957" s="339"/>
    </row>
    <row r="2958" spans="7:56" s="338" customFormat="1">
      <c r="G2958" s="340"/>
      <c r="L2958" s="340"/>
      <c r="P2958" s="340"/>
      <c r="U2958" s="340"/>
      <c r="V2958" s="340"/>
      <c r="Z2958" s="340"/>
      <c r="AE2958" s="340"/>
      <c r="AI2958" s="340"/>
      <c r="AN2958" s="340"/>
      <c r="AO2958" s="340"/>
      <c r="AS2958" s="340"/>
      <c r="AX2958" s="340"/>
      <c r="BB2958" s="340"/>
      <c r="BD2958" s="339"/>
    </row>
    <row r="2959" spans="7:56" s="338" customFormat="1">
      <c r="G2959" s="340"/>
      <c r="L2959" s="340"/>
      <c r="P2959" s="340"/>
      <c r="U2959" s="340"/>
      <c r="V2959" s="340"/>
      <c r="Z2959" s="340"/>
      <c r="AE2959" s="340"/>
      <c r="AI2959" s="340"/>
      <c r="AN2959" s="340"/>
      <c r="AO2959" s="340"/>
      <c r="AS2959" s="340"/>
      <c r="AX2959" s="340"/>
      <c r="BB2959" s="340"/>
      <c r="BD2959" s="339"/>
    </row>
    <row r="2960" spans="7:56" s="338" customFormat="1">
      <c r="G2960" s="340"/>
      <c r="L2960" s="340"/>
      <c r="P2960" s="340"/>
      <c r="U2960" s="340"/>
      <c r="V2960" s="340"/>
      <c r="Z2960" s="340"/>
      <c r="AE2960" s="340"/>
      <c r="AI2960" s="340"/>
      <c r="AN2960" s="340"/>
      <c r="AO2960" s="340"/>
      <c r="AS2960" s="340"/>
      <c r="AX2960" s="340"/>
      <c r="BB2960" s="340"/>
      <c r="BD2960" s="339"/>
    </row>
    <row r="2961" spans="7:56" s="338" customFormat="1">
      <c r="G2961" s="340"/>
      <c r="L2961" s="340"/>
      <c r="P2961" s="340"/>
      <c r="U2961" s="340"/>
      <c r="V2961" s="340"/>
      <c r="Z2961" s="340"/>
      <c r="AE2961" s="340"/>
      <c r="AI2961" s="340"/>
      <c r="AN2961" s="340"/>
      <c r="AO2961" s="340"/>
      <c r="AS2961" s="340"/>
      <c r="AX2961" s="340"/>
      <c r="BB2961" s="340"/>
      <c r="BD2961" s="339"/>
    </row>
    <row r="2962" spans="7:56" s="338" customFormat="1">
      <c r="G2962" s="340"/>
      <c r="L2962" s="340"/>
      <c r="P2962" s="340"/>
      <c r="U2962" s="340"/>
      <c r="V2962" s="340"/>
      <c r="Z2962" s="340"/>
      <c r="AE2962" s="340"/>
      <c r="AI2962" s="340"/>
      <c r="AN2962" s="340"/>
      <c r="AO2962" s="340"/>
      <c r="AS2962" s="340"/>
      <c r="AX2962" s="340"/>
      <c r="BB2962" s="340"/>
      <c r="BD2962" s="339"/>
    </row>
    <row r="2963" spans="7:56" s="338" customFormat="1">
      <c r="G2963" s="340"/>
      <c r="L2963" s="340"/>
      <c r="P2963" s="340"/>
      <c r="U2963" s="340"/>
      <c r="V2963" s="340"/>
      <c r="Z2963" s="340"/>
      <c r="AE2963" s="340"/>
      <c r="AI2963" s="340"/>
      <c r="AN2963" s="340"/>
      <c r="AO2963" s="340"/>
      <c r="AS2963" s="340"/>
      <c r="AX2963" s="340"/>
      <c r="BB2963" s="340"/>
      <c r="BD2963" s="339"/>
    </row>
    <row r="2964" spans="7:56" s="338" customFormat="1">
      <c r="G2964" s="340"/>
      <c r="L2964" s="340"/>
      <c r="P2964" s="340"/>
      <c r="U2964" s="340"/>
      <c r="V2964" s="340"/>
      <c r="Z2964" s="340"/>
      <c r="AE2964" s="340"/>
      <c r="AI2964" s="340"/>
      <c r="AN2964" s="340"/>
      <c r="AO2964" s="340"/>
      <c r="AS2964" s="340"/>
      <c r="AX2964" s="340"/>
      <c r="BB2964" s="340"/>
      <c r="BD2964" s="339"/>
    </row>
    <row r="2965" spans="7:56" s="338" customFormat="1">
      <c r="G2965" s="340"/>
      <c r="L2965" s="340"/>
      <c r="P2965" s="340"/>
      <c r="U2965" s="340"/>
      <c r="V2965" s="340"/>
      <c r="Z2965" s="340"/>
      <c r="AE2965" s="340"/>
      <c r="AI2965" s="340"/>
      <c r="AN2965" s="340"/>
      <c r="AO2965" s="340"/>
      <c r="AS2965" s="340"/>
      <c r="AX2965" s="340"/>
      <c r="BB2965" s="340"/>
      <c r="BD2965" s="339"/>
    </row>
    <row r="2966" spans="7:56" s="338" customFormat="1">
      <c r="G2966" s="340"/>
      <c r="L2966" s="340"/>
      <c r="P2966" s="340"/>
      <c r="U2966" s="340"/>
      <c r="V2966" s="340"/>
      <c r="Z2966" s="340"/>
      <c r="AE2966" s="340"/>
      <c r="AI2966" s="340"/>
      <c r="AN2966" s="340"/>
      <c r="AO2966" s="340"/>
      <c r="AS2966" s="340"/>
      <c r="AX2966" s="340"/>
      <c r="BB2966" s="340"/>
      <c r="BD2966" s="339"/>
    </row>
    <row r="2967" spans="7:56" s="338" customFormat="1">
      <c r="G2967" s="340"/>
      <c r="L2967" s="340"/>
      <c r="P2967" s="340"/>
      <c r="U2967" s="340"/>
      <c r="V2967" s="340"/>
      <c r="Z2967" s="340"/>
      <c r="AE2967" s="340"/>
      <c r="AI2967" s="340"/>
      <c r="AN2967" s="340"/>
      <c r="AO2967" s="340"/>
      <c r="AS2967" s="340"/>
      <c r="AX2967" s="340"/>
      <c r="BB2967" s="340"/>
      <c r="BD2967" s="339"/>
    </row>
    <row r="2968" spans="7:56" s="338" customFormat="1">
      <c r="G2968" s="340"/>
      <c r="L2968" s="340"/>
      <c r="P2968" s="340"/>
      <c r="U2968" s="340"/>
      <c r="V2968" s="340"/>
      <c r="Z2968" s="340"/>
      <c r="AE2968" s="340"/>
      <c r="AI2968" s="340"/>
      <c r="AN2968" s="340"/>
      <c r="AO2968" s="340"/>
      <c r="AS2968" s="340"/>
      <c r="AX2968" s="340"/>
      <c r="BB2968" s="340"/>
      <c r="BD2968" s="339"/>
    </row>
    <row r="2969" spans="7:56" s="338" customFormat="1">
      <c r="G2969" s="340"/>
      <c r="L2969" s="340"/>
      <c r="P2969" s="340"/>
      <c r="U2969" s="340"/>
      <c r="V2969" s="340"/>
      <c r="Z2969" s="340"/>
      <c r="AE2969" s="340"/>
      <c r="AI2969" s="340"/>
      <c r="AN2969" s="340"/>
      <c r="AO2969" s="340"/>
      <c r="AS2969" s="340"/>
      <c r="AX2969" s="340"/>
      <c r="BB2969" s="340"/>
      <c r="BD2969" s="339"/>
    </row>
    <row r="2970" spans="7:56" s="338" customFormat="1">
      <c r="G2970" s="340"/>
      <c r="L2970" s="340"/>
      <c r="P2970" s="340"/>
      <c r="U2970" s="340"/>
      <c r="V2970" s="340"/>
      <c r="Z2970" s="340"/>
      <c r="AE2970" s="340"/>
      <c r="AI2970" s="340"/>
      <c r="AN2970" s="340"/>
      <c r="AO2970" s="340"/>
      <c r="AS2970" s="340"/>
      <c r="AX2970" s="340"/>
      <c r="BB2970" s="340"/>
      <c r="BD2970" s="339"/>
    </row>
    <row r="2971" spans="7:56" s="338" customFormat="1">
      <c r="G2971" s="340"/>
      <c r="L2971" s="340"/>
      <c r="P2971" s="340"/>
      <c r="U2971" s="340"/>
      <c r="V2971" s="340"/>
      <c r="Z2971" s="340"/>
      <c r="AE2971" s="340"/>
      <c r="AI2971" s="340"/>
      <c r="AN2971" s="340"/>
      <c r="AO2971" s="340"/>
      <c r="AS2971" s="340"/>
      <c r="AX2971" s="340"/>
      <c r="BB2971" s="340"/>
      <c r="BD2971" s="339"/>
    </row>
    <row r="2972" spans="7:56" s="338" customFormat="1">
      <c r="G2972" s="340"/>
      <c r="L2972" s="340"/>
      <c r="P2972" s="340"/>
      <c r="U2972" s="340"/>
      <c r="V2972" s="340"/>
      <c r="Z2972" s="340"/>
      <c r="AE2972" s="340"/>
      <c r="AI2972" s="340"/>
      <c r="AN2972" s="340"/>
      <c r="AO2972" s="340"/>
      <c r="AS2972" s="340"/>
      <c r="AX2972" s="340"/>
      <c r="BB2972" s="340"/>
      <c r="BD2972" s="339"/>
    </row>
    <row r="2973" spans="7:56" s="338" customFormat="1">
      <c r="G2973" s="340"/>
      <c r="L2973" s="340"/>
      <c r="P2973" s="340"/>
      <c r="U2973" s="340"/>
      <c r="V2973" s="340"/>
      <c r="Z2973" s="340"/>
      <c r="AE2973" s="340"/>
      <c r="AI2973" s="340"/>
      <c r="AN2973" s="340"/>
      <c r="AO2973" s="340"/>
      <c r="AS2973" s="340"/>
      <c r="AX2973" s="340"/>
      <c r="BB2973" s="340"/>
      <c r="BD2973" s="339"/>
    </row>
    <row r="2974" spans="7:56" s="338" customFormat="1">
      <c r="G2974" s="340"/>
      <c r="L2974" s="340"/>
      <c r="P2974" s="340"/>
      <c r="U2974" s="340"/>
      <c r="V2974" s="340"/>
      <c r="Z2974" s="340"/>
      <c r="AE2974" s="340"/>
      <c r="AI2974" s="340"/>
      <c r="AN2974" s="340"/>
      <c r="AO2974" s="340"/>
      <c r="AS2974" s="340"/>
      <c r="AX2974" s="340"/>
      <c r="BB2974" s="340"/>
      <c r="BD2974" s="339"/>
    </row>
    <row r="2975" spans="7:56" s="338" customFormat="1">
      <c r="G2975" s="340"/>
      <c r="L2975" s="340"/>
      <c r="P2975" s="340"/>
      <c r="U2975" s="340"/>
      <c r="V2975" s="340"/>
      <c r="Z2975" s="340"/>
      <c r="AE2975" s="340"/>
      <c r="AI2975" s="340"/>
      <c r="AN2975" s="340"/>
      <c r="AO2975" s="340"/>
      <c r="AS2975" s="340"/>
      <c r="AX2975" s="340"/>
      <c r="BB2975" s="340"/>
      <c r="BD2975" s="339"/>
    </row>
    <row r="2976" spans="7:56" s="338" customFormat="1">
      <c r="G2976" s="340"/>
      <c r="L2976" s="340"/>
      <c r="P2976" s="340"/>
      <c r="U2976" s="340"/>
      <c r="V2976" s="340"/>
      <c r="Z2976" s="340"/>
      <c r="AE2976" s="340"/>
      <c r="AI2976" s="340"/>
      <c r="AN2976" s="340"/>
      <c r="AO2976" s="340"/>
      <c r="AS2976" s="340"/>
      <c r="AX2976" s="340"/>
      <c r="BB2976" s="340"/>
      <c r="BD2976" s="339"/>
    </row>
    <row r="2977" spans="7:56" s="338" customFormat="1">
      <c r="G2977" s="340"/>
      <c r="L2977" s="340"/>
      <c r="P2977" s="340"/>
      <c r="U2977" s="340"/>
      <c r="V2977" s="340"/>
      <c r="Z2977" s="340"/>
      <c r="AE2977" s="340"/>
      <c r="AI2977" s="340"/>
      <c r="AN2977" s="340"/>
      <c r="AO2977" s="340"/>
      <c r="AS2977" s="340"/>
      <c r="AX2977" s="340"/>
      <c r="BB2977" s="340"/>
      <c r="BD2977" s="339"/>
    </row>
    <row r="2978" spans="7:56" s="338" customFormat="1">
      <c r="G2978" s="340"/>
      <c r="L2978" s="340"/>
      <c r="P2978" s="340"/>
      <c r="U2978" s="340"/>
      <c r="V2978" s="340"/>
      <c r="Z2978" s="340"/>
      <c r="AE2978" s="340"/>
      <c r="AI2978" s="340"/>
      <c r="AN2978" s="340"/>
      <c r="AO2978" s="340"/>
      <c r="AS2978" s="340"/>
      <c r="AX2978" s="340"/>
      <c r="BB2978" s="340"/>
      <c r="BD2978" s="339"/>
    </row>
    <row r="2979" spans="7:56" s="338" customFormat="1">
      <c r="G2979" s="340"/>
      <c r="L2979" s="340"/>
      <c r="P2979" s="340"/>
      <c r="U2979" s="340"/>
      <c r="V2979" s="340"/>
      <c r="Z2979" s="340"/>
      <c r="AE2979" s="340"/>
      <c r="AI2979" s="340"/>
      <c r="AN2979" s="340"/>
      <c r="AO2979" s="340"/>
      <c r="AS2979" s="340"/>
      <c r="AX2979" s="340"/>
      <c r="BB2979" s="340"/>
      <c r="BD2979" s="339"/>
    </row>
    <row r="2980" spans="7:56" s="338" customFormat="1">
      <c r="G2980" s="340"/>
      <c r="L2980" s="340"/>
      <c r="P2980" s="340"/>
      <c r="U2980" s="340"/>
      <c r="V2980" s="340"/>
      <c r="Z2980" s="340"/>
      <c r="AE2980" s="340"/>
      <c r="AI2980" s="340"/>
      <c r="AN2980" s="340"/>
      <c r="AO2980" s="340"/>
      <c r="AS2980" s="340"/>
      <c r="AX2980" s="340"/>
      <c r="BB2980" s="340"/>
      <c r="BD2980" s="339"/>
    </row>
    <row r="2981" spans="7:56" s="338" customFormat="1">
      <c r="G2981" s="340"/>
      <c r="L2981" s="340"/>
      <c r="P2981" s="340"/>
      <c r="U2981" s="340"/>
      <c r="V2981" s="340"/>
      <c r="Z2981" s="340"/>
      <c r="AE2981" s="340"/>
      <c r="AI2981" s="340"/>
      <c r="AN2981" s="340"/>
      <c r="AO2981" s="340"/>
      <c r="AS2981" s="340"/>
      <c r="AX2981" s="340"/>
      <c r="BB2981" s="340"/>
      <c r="BD2981" s="339"/>
    </row>
    <row r="2982" spans="7:56" s="338" customFormat="1">
      <c r="G2982" s="340"/>
      <c r="L2982" s="340"/>
      <c r="P2982" s="340"/>
      <c r="U2982" s="340"/>
      <c r="V2982" s="340"/>
      <c r="Z2982" s="340"/>
      <c r="AE2982" s="340"/>
      <c r="AI2982" s="340"/>
      <c r="AN2982" s="340"/>
      <c r="AO2982" s="340"/>
      <c r="AS2982" s="340"/>
      <c r="AX2982" s="340"/>
      <c r="BB2982" s="340"/>
      <c r="BD2982" s="339"/>
    </row>
    <row r="2983" spans="7:56" s="338" customFormat="1">
      <c r="G2983" s="340"/>
      <c r="L2983" s="340"/>
      <c r="P2983" s="340"/>
      <c r="U2983" s="340"/>
      <c r="V2983" s="340"/>
      <c r="Z2983" s="340"/>
      <c r="AE2983" s="340"/>
      <c r="AI2983" s="340"/>
      <c r="AN2983" s="340"/>
      <c r="AO2983" s="340"/>
      <c r="AS2983" s="340"/>
      <c r="AX2983" s="340"/>
      <c r="BB2983" s="340"/>
      <c r="BD2983" s="339"/>
    </row>
    <row r="2984" spans="7:56" s="338" customFormat="1">
      <c r="G2984" s="340"/>
      <c r="L2984" s="340"/>
      <c r="P2984" s="340"/>
      <c r="U2984" s="340"/>
      <c r="V2984" s="340"/>
      <c r="Z2984" s="340"/>
      <c r="AE2984" s="340"/>
      <c r="AI2984" s="340"/>
      <c r="AN2984" s="340"/>
      <c r="AO2984" s="340"/>
      <c r="AS2984" s="340"/>
      <c r="AX2984" s="340"/>
      <c r="BB2984" s="340"/>
      <c r="BD2984" s="339"/>
    </row>
    <row r="2985" spans="7:56" s="338" customFormat="1">
      <c r="G2985" s="340"/>
      <c r="L2985" s="340"/>
      <c r="P2985" s="340"/>
      <c r="U2985" s="340"/>
      <c r="V2985" s="340"/>
      <c r="Z2985" s="340"/>
      <c r="AE2985" s="340"/>
      <c r="AI2985" s="340"/>
      <c r="AN2985" s="340"/>
      <c r="AO2985" s="340"/>
      <c r="AS2985" s="340"/>
      <c r="AX2985" s="340"/>
      <c r="BB2985" s="340"/>
      <c r="BD2985" s="339"/>
    </row>
    <row r="2986" spans="7:56" s="338" customFormat="1">
      <c r="G2986" s="340"/>
      <c r="L2986" s="340"/>
      <c r="P2986" s="340"/>
      <c r="U2986" s="340"/>
      <c r="V2986" s="340"/>
      <c r="Z2986" s="340"/>
      <c r="AE2986" s="340"/>
      <c r="AI2986" s="340"/>
      <c r="AN2986" s="340"/>
      <c r="AO2986" s="340"/>
      <c r="AS2986" s="340"/>
      <c r="AX2986" s="340"/>
      <c r="BB2986" s="340"/>
      <c r="BD2986" s="339"/>
    </row>
    <row r="2987" spans="7:56" s="338" customFormat="1">
      <c r="G2987" s="340"/>
      <c r="L2987" s="340"/>
      <c r="P2987" s="340"/>
      <c r="U2987" s="340"/>
      <c r="V2987" s="340"/>
      <c r="Z2987" s="340"/>
      <c r="AE2987" s="340"/>
      <c r="AI2987" s="340"/>
      <c r="AN2987" s="340"/>
      <c r="AO2987" s="340"/>
      <c r="AS2987" s="340"/>
      <c r="AX2987" s="340"/>
      <c r="BB2987" s="340"/>
      <c r="BD2987" s="339"/>
    </row>
    <row r="2988" spans="7:56" s="338" customFormat="1">
      <c r="G2988" s="340"/>
      <c r="L2988" s="340"/>
      <c r="P2988" s="340"/>
      <c r="U2988" s="340"/>
      <c r="V2988" s="340"/>
      <c r="Z2988" s="340"/>
      <c r="AE2988" s="340"/>
      <c r="AI2988" s="340"/>
      <c r="AN2988" s="340"/>
      <c r="AO2988" s="340"/>
      <c r="AS2988" s="340"/>
      <c r="AX2988" s="340"/>
      <c r="BB2988" s="340"/>
      <c r="BD2988" s="339"/>
    </row>
    <row r="2989" spans="7:56" s="338" customFormat="1">
      <c r="G2989" s="340"/>
      <c r="L2989" s="340"/>
      <c r="P2989" s="340"/>
      <c r="U2989" s="340"/>
      <c r="V2989" s="340"/>
      <c r="Z2989" s="340"/>
      <c r="AE2989" s="340"/>
      <c r="AI2989" s="340"/>
      <c r="AN2989" s="340"/>
      <c r="AO2989" s="340"/>
      <c r="AS2989" s="340"/>
      <c r="AX2989" s="340"/>
      <c r="BB2989" s="340"/>
      <c r="BD2989" s="339"/>
    </row>
    <row r="2990" spans="7:56" s="338" customFormat="1">
      <c r="G2990" s="340"/>
      <c r="L2990" s="340"/>
      <c r="P2990" s="340"/>
      <c r="U2990" s="340"/>
      <c r="V2990" s="340"/>
      <c r="Z2990" s="340"/>
      <c r="AE2990" s="340"/>
      <c r="AI2990" s="340"/>
      <c r="AN2990" s="340"/>
      <c r="AO2990" s="340"/>
      <c r="AS2990" s="340"/>
      <c r="AX2990" s="340"/>
      <c r="BB2990" s="340"/>
      <c r="BD2990" s="339"/>
    </row>
    <row r="2991" spans="7:56" s="338" customFormat="1">
      <c r="G2991" s="340"/>
      <c r="L2991" s="340"/>
      <c r="P2991" s="340"/>
      <c r="U2991" s="340"/>
      <c r="V2991" s="340"/>
      <c r="Z2991" s="340"/>
      <c r="AE2991" s="340"/>
      <c r="AI2991" s="340"/>
      <c r="AN2991" s="340"/>
      <c r="AO2991" s="340"/>
      <c r="AS2991" s="340"/>
      <c r="AX2991" s="340"/>
      <c r="BB2991" s="340"/>
      <c r="BD2991" s="339"/>
    </row>
    <row r="2992" spans="7:56" s="338" customFormat="1">
      <c r="G2992" s="340"/>
      <c r="L2992" s="340"/>
      <c r="P2992" s="340"/>
      <c r="U2992" s="340"/>
      <c r="V2992" s="340"/>
      <c r="Z2992" s="340"/>
      <c r="AE2992" s="340"/>
      <c r="AI2992" s="340"/>
      <c r="AN2992" s="340"/>
      <c r="AO2992" s="340"/>
      <c r="AS2992" s="340"/>
      <c r="AX2992" s="340"/>
      <c r="BB2992" s="340"/>
      <c r="BD2992" s="339"/>
    </row>
    <row r="2993" spans="7:56" s="338" customFormat="1">
      <c r="G2993" s="340"/>
      <c r="L2993" s="340"/>
      <c r="P2993" s="340"/>
      <c r="U2993" s="340"/>
      <c r="V2993" s="340"/>
      <c r="Z2993" s="340"/>
      <c r="AE2993" s="340"/>
      <c r="AI2993" s="340"/>
      <c r="AN2993" s="340"/>
      <c r="AO2993" s="340"/>
      <c r="AS2993" s="340"/>
      <c r="AX2993" s="340"/>
      <c r="BB2993" s="340"/>
      <c r="BD2993" s="339"/>
    </row>
    <row r="2994" spans="7:56" s="338" customFormat="1">
      <c r="G2994" s="340"/>
      <c r="L2994" s="340"/>
      <c r="P2994" s="340"/>
      <c r="U2994" s="340"/>
      <c r="V2994" s="340"/>
      <c r="Z2994" s="340"/>
      <c r="AE2994" s="340"/>
      <c r="AI2994" s="340"/>
      <c r="AN2994" s="340"/>
      <c r="AO2994" s="340"/>
      <c r="AS2994" s="340"/>
      <c r="AX2994" s="340"/>
      <c r="BB2994" s="340"/>
      <c r="BD2994" s="339"/>
    </row>
    <row r="2995" spans="7:56" s="338" customFormat="1">
      <c r="G2995" s="340"/>
      <c r="L2995" s="340"/>
      <c r="P2995" s="340"/>
      <c r="U2995" s="340"/>
      <c r="V2995" s="340"/>
      <c r="Z2995" s="340"/>
      <c r="AE2995" s="340"/>
      <c r="AI2995" s="340"/>
      <c r="AN2995" s="340"/>
      <c r="AO2995" s="340"/>
      <c r="AS2995" s="340"/>
      <c r="AX2995" s="340"/>
      <c r="BB2995" s="340"/>
      <c r="BD2995" s="339"/>
    </row>
    <row r="2996" spans="7:56" s="338" customFormat="1">
      <c r="G2996" s="340"/>
      <c r="L2996" s="340"/>
      <c r="P2996" s="340"/>
      <c r="U2996" s="340"/>
      <c r="V2996" s="340"/>
      <c r="Z2996" s="340"/>
      <c r="AE2996" s="340"/>
      <c r="AI2996" s="340"/>
      <c r="AN2996" s="340"/>
      <c r="AO2996" s="340"/>
      <c r="AS2996" s="340"/>
      <c r="AX2996" s="340"/>
      <c r="BB2996" s="340"/>
      <c r="BD2996" s="339"/>
    </row>
    <row r="2997" spans="7:56" s="338" customFormat="1">
      <c r="G2997" s="340"/>
      <c r="L2997" s="340"/>
      <c r="P2997" s="340"/>
      <c r="U2997" s="340"/>
      <c r="V2997" s="340"/>
      <c r="Z2997" s="340"/>
      <c r="AE2997" s="340"/>
      <c r="AI2997" s="340"/>
      <c r="AN2997" s="340"/>
      <c r="AO2997" s="340"/>
      <c r="AS2997" s="340"/>
      <c r="AX2997" s="340"/>
      <c r="BB2997" s="340"/>
      <c r="BD2997" s="339"/>
    </row>
    <row r="2998" spans="7:56" s="338" customFormat="1">
      <c r="G2998" s="340"/>
      <c r="L2998" s="340"/>
      <c r="P2998" s="340"/>
      <c r="U2998" s="340"/>
      <c r="V2998" s="340"/>
      <c r="Z2998" s="340"/>
      <c r="AE2998" s="340"/>
      <c r="AI2998" s="340"/>
      <c r="AN2998" s="340"/>
      <c r="AO2998" s="340"/>
      <c r="AS2998" s="340"/>
      <c r="AX2998" s="340"/>
      <c r="BB2998" s="340"/>
      <c r="BD2998" s="339"/>
    </row>
    <row r="2999" spans="7:56" s="338" customFormat="1">
      <c r="G2999" s="340"/>
      <c r="L2999" s="340"/>
      <c r="P2999" s="340"/>
      <c r="U2999" s="340"/>
      <c r="V2999" s="340"/>
      <c r="Z2999" s="340"/>
      <c r="AE2999" s="340"/>
      <c r="AI2999" s="340"/>
      <c r="AN2999" s="340"/>
      <c r="AO2999" s="340"/>
      <c r="AS2999" s="340"/>
      <c r="AX2999" s="340"/>
      <c r="BB2999" s="340"/>
      <c r="BD2999" s="339"/>
    </row>
    <row r="3000" spans="7:56" s="338" customFormat="1">
      <c r="G3000" s="340"/>
      <c r="L3000" s="340"/>
      <c r="P3000" s="340"/>
      <c r="U3000" s="340"/>
      <c r="V3000" s="340"/>
      <c r="Z3000" s="340"/>
      <c r="AE3000" s="340"/>
      <c r="AI3000" s="340"/>
      <c r="AN3000" s="340"/>
      <c r="AO3000" s="340"/>
      <c r="AS3000" s="340"/>
      <c r="AX3000" s="340"/>
      <c r="BB3000" s="340"/>
      <c r="BD3000" s="339"/>
    </row>
    <row r="3001" spans="7:56" s="338" customFormat="1">
      <c r="G3001" s="340"/>
      <c r="L3001" s="340"/>
      <c r="P3001" s="340"/>
      <c r="U3001" s="340"/>
      <c r="V3001" s="340"/>
      <c r="Z3001" s="340"/>
      <c r="AE3001" s="340"/>
      <c r="AI3001" s="340"/>
      <c r="AN3001" s="340"/>
      <c r="AO3001" s="340"/>
      <c r="AS3001" s="340"/>
      <c r="AX3001" s="340"/>
      <c r="BB3001" s="340"/>
      <c r="BD3001" s="339"/>
    </row>
    <row r="3002" spans="7:56" s="338" customFormat="1">
      <c r="G3002" s="340"/>
      <c r="L3002" s="340"/>
      <c r="P3002" s="340"/>
      <c r="U3002" s="340"/>
      <c r="V3002" s="340"/>
      <c r="Z3002" s="340"/>
      <c r="AE3002" s="340"/>
      <c r="AI3002" s="340"/>
      <c r="AN3002" s="340"/>
      <c r="AO3002" s="340"/>
      <c r="AS3002" s="340"/>
      <c r="AX3002" s="340"/>
      <c r="BB3002" s="340"/>
      <c r="BD3002" s="339"/>
    </row>
    <row r="3003" spans="7:56" s="338" customFormat="1">
      <c r="G3003" s="340"/>
      <c r="L3003" s="340"/>
      <c r="P3003" s="340"/>
      <c r="U3003" s="340"/>
      <c r="V3003" s="340"/>
      <c r="Z3003" s="340"/>
      <c r="AE3003" s="340"/>
      <c r="AI3003" s="340"/>
      <c r="AN3003" s="340"/>
      <c r="AO3003" s="340"/>
      <c r="AS3003" s="340"/>
      <c r="AX3003" s="340"/>
      <c r="BB3003" s="340"/>
      <c r="BD3003" s="339"/>
    </row>
    <row r="3004" spans="7:56" s="338" customFormat="1">
      <c r="G3004" s="340"/>
      <c r="L3004" s="340"/>
      <c r="P3004" s="340"/>
      <c r="U3004" s="340"/>
      <c r="V3004" s="340"/>
      <c r="Z3004" s="340"/>
      <c r="AE3004" s="340"/>
      <c r="AI3004" s="340"/>
      <c r="AN3004" s="340"/>
      <c r="AO3004" s="340"/>
      <c r="AS3004" s="340"/>
      <c r="AX3004" s="340"/>
      <c r="BB3004" s="340"/>
      <c r="BD3004" s="339"/>
    </row>
    <row r="3005" spans="7:56" s="338" customFormat="1">
      <c r="G3005" s="340"/>
      <c r="L3005" s="340"/>
      <c r="P3005" s="340"/>
      <c r="U3005" s="340"/>
      <c r="V3005" s="340"/>
      <c r="Z3005" s="340"/>
      <c r="AE3005" s="340"/>
      <c r="AI3005" s="340"/>
      <c r="AN3005" s="340"/>
      <c r="AO3005" s="340"/>
      <c r="AS3005" s="340"/>
      <c r="AX3005" s="340"/>
      <c r="BB3005" s="340"/>
      <c r="BD3005" s="339"/>
    </row>
    <row r="3006" spans="7:56" s="338" customFormat="1">
      <c r="G3006" s="340"/>
      <c r="L3006" s="340"/>
      <c r="P3006" s="340"/>
      <c r="U3006" s="340"/>
      <c r="V3006" s="340"/>
      <c r="Z3006" s="340"/>
      <c r="AE3006" s="340"/>
      <c r="AI3006" s="340"/>
      <c r="AN3006" s="340"/>
      <c r="AO3006" s="340"/>
      <c r="AS3006" s="340"/>
      <c r="AX3006" s="340"/>
      <c r="BB3006" s="340"/>
      <c r="BD3006" s="339"/>
    </row>
    <row r="3007" spans="7:56" s="338" customFormat="1">
      <c r="G3007" s="340"/>
      <c r="L3007" s="340"/>
      <c r="P3007" s="340"/>
      <c r="U3007" s="340"/>
      <c r="V3007" s="340"/>
      <c r="Z3007" s="340"/>
      <c r="AE3007" s="340"/>
      <c r="AI3007" s="340"/>
      <c r="AN3007" s="340"/>
      <c r="AO3007" s="340"/>
      <c r="AS3007" s="340"/>
      <c r="AX3007" s="340"/>
      <c r="BB3007" s="340"/>
      <c r="BD3007" s="339"/>
    </row>
    <row r="3008" spans="7:56" s="338" customFormat="1">
      <c r="G3008" s="340"/>
      <c r="L3008" s="340"/>
      <c r="P3008" s="340"/>
      <c r="U3008" s="340"/>
      <c r="V3008" s="340"/>
      <c r="Z3008" s="340"/>
      <c r="AE3008" s="340"/>
      <c r="AI3008" s="340"/>
      <c r="AN3008" s="340"/>
      <c r="AO3008" s="340"/>
      <c r="AS3008" s="340"/>
      <c r="AX3008" s="340"/>
      <c r="BB3008" s="340"/>
      <c r="BD3008" s="339"/>
    </row>
    <row r="3009" spans="7:56" s="338" customFormat="1">
      <c r="G3009" s="340"/>
      <c r="L3009" s="340"/>
      <c r="P3009" s="340"/>
      <c r="U3009" s="340"/>
      <c r="V3009" s="340"/>
      <c r="Z3009" s="340"/>
      <c r="AE3009" s="340"/>
      <c r="AI3009" s="340"/>
      <c r="AN3009" s="340"/>
      <c r="AO3009" s="340"/>
      <c r="AS3009" s="340"/>
      <c r="AX3009" s="340"/>
      <c r="BB3009" s="340"/>
      <c r="BD3009" s="339"/>
    </row>
    <row r="3010" spans="7:56" s="338" customFormat="1">
      <c r="G3010" s="340"/>
      <c r="L3010" s="340"/>
      <c r="P3010" s="340"/>
      <c r="U3010" s="340"/>
      <c r="V3010" s="340"/>
      <c r="Z3010" s="340"/>
      <c r="AE3010" s="340"/>
      <c r="AI3010" s="340"/>
      <c r="AN3010" s="340"/>
      <c r="AO3010" s="340"/>
      <c r="AS3010" s="340"/>
      <c r="AX3010" s="340"/>
      <c r="BB3010" s="340"/>
      <c r="BD3010" s="339"/>
    </row>
    <row r="3011" spans="7:56" s="338" customFormat="1">
      <c r="G3011" s="340"/>
      <c r="L3011" s="340"/>
      <c r="P3011" s="340"/>
      <c r="U3011" s="340"/>
      <c r="V3011" s="340"/>
      <c r="Z3011" s="340"/>
      <c r="AE3011" s="340"/>
      <c r="AI3011" s="340"/>
      <c r="AN3011" s="340"/>
      <c r="AO3011" s="340"/>
      <c r="AS3011" s="340"/>
      <c r="AX3011" s="340"/>
      <c r="BB3011" s="340"/>
      <c r="BD3011" s="339"/>
    </row>
    <row r="3012" spans="7:56" s="338" customFormat="1">
      <c r="G3012" s="340"/>
      <c r="L3012" s="340"/>
      <c r="P3012" s="340"/>
      <c r="U3012" s="340"/>
      <c r="V3012" s="340"/>
      <c r="Z3012" s="340"/>
      <c r="AE3012" s="340"/>
      <c r="AI3012" s="340"/>
      <c r="AN3012" s="340"/>
      <c r="AO3012" s="340"/>
      <c r="AS3012" s="340"/>
      <c r="AX3012" s="340"/>
      <c r="BB3012" s="340"/>
      <c r="BD3012" s="339"/>
    </row>
    <row r="3013" spans="7:56" s="338" customFormat="1">
      <c r="G3013" s="340"/>
      <c r="L3013" s="340"/>
      <c r="P3013" s="340"/>
      <c r="U3013" s="340"/>
      <c r="V3013" s="340"/>
      <c r="Z3013" s="340"/>
      <c r="AE3013" s="340"/>
      <c r="AI3013" s="340"/>
      <c r="AN3013" s="340"/>
      <c r="AO3013" s="340"/>
      <c r="AS3013" s="340"/>
      <c r="AX3013" s="340"/>
      <c r="BB3013" s="340"/>
      <c r="BD3013" s="339"/>
    </row>
    <row r="3014" spans="7:56" s="338" customFormat="1">
      <c r="G3014" s="340"/>
      <c r="L3014" s="340"/>
      <c r="P3014" s="340"/>
      <c r="U3014" s="340"/>
      <c r="V3014" s="340"/>
      <c r="Z3014" s="340"/>
      <c r="AE3014" s="340"/>
      <c r="AI3014" s="340"/>
      <c r="AN3014" s="340"/>
      <c r="AO3014" s="340"/>
      <c r="AS3014" s="340"/>
      <c r="AX3014" s="340"/>
      <c r="BB3014" s="340"/>
      <c r="BD3014" s="339"/>
    </row>
    <row r="3015" spans="7:56" s="338" customFormat="1">
      <c r="G3015" s="340"/>
      <c r="L3015" s="340"/>
      <c r="P3015" s="340"/>
      <c r="U3015" s="340"/>
      <c r="V3015" s="340"/>
      <c r="Z3015" s="340"/>
      <c r="AE3015" s="340"/>
      <c r="AI3015" s="340"/>
      <c r="AN3015" s="340"/>
      <c r="AO3015" s="340"/>
      <c r="AS3015" s="340"/>
      <c r="AX3015" s="340"/>
      <c r="BB3015" s="340"/>
      <c r="BD3015" s="339"/>
    </row>
    <row r="3016" spans="7:56" s="338" customFormat="1">
      <c r="G3016" s="340"/>
      <c r="L3016" s="340"/>
      <c r="P3016" s="340"/>
      <c r="U3016" s="340"/>
      <c r="V3016" s="340"/>
      <c r="Z3016" s="340"/>
      <c r="AE3016" s="340"/>
      <c r="AI3016" s="340"/>
      <c r="AN3016" s="340"/>
      <c r="AO3016" s="340"/>
      <c r="AS3016" s="340"/>
      <c r="AX3016" s="340"/>
      <c r="BB3016" s="340"/>
      <c r="BD3016" s="339"/>
    </row>
    <row r="3017" spans="7:56" s="338" customFormat="1">
      <c r="G3017" s="340"/>
      <c r="L3017" s="340"/>
      <c r="P3017" s="340"/>
      <c r="U3017" s="340"/>
      <c r="V3017" s="340"/>
      <c r="Z3017" s="340"/>
      <c r="AE3017" s="340"/>
      <c r="AI3017" s="340"/>
      <c r="AN3017" s="340"/>
      <c r="AO3017" s="340"/>
      <c r="AS3017" s="340"/>
      <c r="AX3017" s="340"/>
      <c r="BB3017" s="340"/>
      <c r="BD3017" s="339"/>
    </row>
    <row r="3018" spans="7:56" s="338" customFormat="1">
      <c r="G3018" s="340"/>
      <c r="L3018" s="340"/>
      <c r="P3018" s="340"/>
      <c r="U3018" s="340"/>
      <c r="V3018" s="340"/>
      <c r="Z3018" s="340"/>
      <c r="AE3018" s="340"/>
      <c r="AI3018" s="340"/>
      <c r="AN3018" s="340"/>
      <c r="AO3018" s="340"/>
      <c r="AS3018" s="340"/>
      <c r="AX3018" s="340"/>
      <c r="BB3018" s="340"/>
      <c r="BD3018" s="339"/>
    </row>
    <row r="3019" spans="7:56" s="338" customFormat="1">
      <c r="G3019" s="340"/>
      <c r="L3019" s="340"/>
      <c r="P3019" s="340"/>
      <c r="U3019" s="340"/>
      <c r="V3019" s="340"/>
      <c r="Z3019" s="340"/>
      <c r="AE3019" s="340"/>
      <c r="AI3019" s="340"/>
      <c r="AN3019" s="340"/>
      <c r="AO3019" s="340"/>
      <c r="AS3019" s="340"/>
      <c r="AX3019" s="340"/>
      <c r="BB3019" s="340"/>
      <c r="BD3019" s="339"/>
    </row>
    <row r="3020" spans="7:56" s="338" customFormat="1">
      <c r="G3020" s="340"/>
      <c r="L3020" s="340"/>
      <c r="P3020" s="340"/>
      <c r="U3020" s="340"/>
      <c r="V3020" s="340"/>
      <c r="Z3020" s="340"/>
      <c r="AE3020" s="340"/>
      <c r="AI3020" s="340"/>
      <c r="AN3020" s="340"/>
      <c r="AO3020" s="340"/>
      <c r="AS3020" s="340"/>
      <c r="AX3020" s="340"/>
      <c r="BB3020" s="340"/>
      <c r="BD3020" s="339"/>
    </row>
    <row r="3021" spans="7:56" s="338" customFormat="1">
      <c r="G3021" s="340"/>
      <c r="L3021" s="340"/>
      <c r="P3021" s="340"/>
      <c r="U3021" s="340"/>
      <c r="V3021" s="340"/>
      <c r="Z3021" s="340"/>
      <c r="AE3021" s="340"/>
      <c r="AI3021" s="340"/>
      <c r="AN3021" s="340"/>
      <c r="AO3021" s="340"/>
      <c r="AS3021" s="340"/>
      <c r="AX3021" s="340"/>
      <c r="BB3021" s="340"/>
      <c r="BD3021" s="339"/>
    </row>
    <row r="3022" spans="7:56" s="338" customFormat="1">
      <c r="G3022" s="340"/>
      <c r="L3022" s="340"/>
      <c r="P3022" s="340"/>
      <c r="U3022" s="340"/>
      <c r="V3022" s="340"/>
      <c r="Z3022" s="340"/>
      <c r="AE3022" s="340"/>
      <c r="AI3022" s="340"/>
      <c r="AN3022" s="340"/>
      <c r="AO3022" s="340"/>
      <c r="AS3022" s="340"/>
      <c r="AX3022" s="340"/>
      <c r="BB3022" s="340"/>
      <c r="BD3022" s="339"/>
    </row>
    <row r="3023" spans="7:56" s="338" customFormat="1">
      <c r="G3023" s="340"/>
      <c r="L3023" s="340"/>
      <c r="P3023" s="340"/>
      <c r="U3023" s="340"/>
      <c r="V3023" s="340"/>
      <c r="Z3023" s="340"/>
      <c r="AE3023" s="340"/>
      <c r="AI3023" s="340"/>
      <c r="AN3023" s="340"/>
      <c r="AO3023" s="340"/>
      <c r="AS3023" s="340"/>
      <c r="AX3023" s="340"/>
      <c r="BB3023" s="340"/>
      <c r="BD3023" s="339"/>
    </row>
    <row r="3024" spans="7:56" s="338" customFormat="1">
      <c r="G3024" s="340"/>
      <c r="L3024" s="340"/>
      <c r="P3024" s="340"/>
      <c r="U3024" s="340"/>
      <c r="V3024" s="340"/>
      <c r="Z3024" s="340"/>
      <c r="AE3024" s="340"/>
      <c r="AI3024" s="340"/>
      <c r="AN3024" s="340"/>
      <c r="AO3024" s="340"/>
      <c r="AS3024" s="340"/>
      <c r="AX3024" s="340"/>
      <c r="BB3024" s="340"/>
      <c r="BD3024" s="339"/>
    </row>
    <row r="3025" spans="7:56" s="338" customFormat="1">
      <c r="G3025" s="340"/>
      <c r="L3025" s="340"/>
      <c r="P3025" s="340"/>
      <c r="U3025" s="340"/>
      <c r="V3025" s="340"/>
      <c r="Z3025" s="340"/>
      <c r="AE3025" s="340"/>
      <c r="AI3025" s="340"/>
      <c r="AN3025" s="340"/>
      <c r="AO3025" s="340"/>
      <c r="AS3025" s="340"/>
      <c r="AX3025" s="340"/>
      <c r="BB3025" s="340"/>
      <c r="BD3025" s="339"/>
    </row>
    <row r="3026" spans="7:56" s="338" customFormat="1">
      <c r="G3026" s="340"/>
      <c r="L3026" s="340"/>
      <c r="P3026" s="340"/>
      <c r="U3026" s="340"/>
      <c r="V3026" s="340"/>
      <c r="Z3026" s="340"/>
      <c r="AE3026" s="340"/>
      <c r="AI3026" s="340"/>
      <c r="AN3026" s="340"/>
      <c r="AO3026" s="340"/>
      <c r="AS3026" s="340"/>
      <c r="AX3026" s="340"/>
      <c r="BB3026" s="340"/>
      <c r="BD3026" s="339"/>
    </row>
    <row r="3027" spans="7:56" s="338" customFormat="1">
      <c r="G3027" s="340"/>
      <c r="L3027" s="340"/>
      <c r="P3027" s="340"/>
      <c r="U3027" s="340"/>
      <c r="V3027" s="340"/>
      <c r="Z3027" s="340"/>
      <c r="AE3027" s="340"/>
      <c r="AI3027" s="340"/>
      <c r="AN3027" s="340"/>
      <c r="AO3027" s="340"/>
      <c r="AS3027" s="340"/>
      <c r="AX3027" s="340"/>
      <c r="BB3027" s="340"/>
      <c r="BD3027" s="339"/>
    </row>
    <row r="3028" spans="7:56" s="338" customFormat="1">
      <c r="G3028" s="340"/>
      <c r="L3028" s="340"/>
      <c r="P3028" s="340"/>
      <c r="U3028" s="340"/>
      <c r="V3028" s="340"/>
      <c r="Z3028" s="340"/>
      <c r="AE3028" s="340"/>
      <c r="AI3028" s="340"/>
      <c r="AN3028" s="340"/>
      <c r="AO3028" s="340"/>
      <c r="AS3028" s="340"/>
      <c r="AX3028" s="340"/>
      <c r="BB3028" s="340"/>
      <c r="BD3028" s="339"/>
    </row>
    <row r="3029" spans="7:56" s="338" customFormat="1">
      <c r="G3029" s="340"/>
      <c r="L3029" s="340"/>
      <c r="P3029" s="340"/>
      <c r="U3029" s="340"/>
      <c r="V3029" s="340"/>
      <c r="Z3029" s="340"/>
      <c r="AE3029" s="340"/>
      <c r="AI3029" s="340"/>
      <c r="AN3029" s="340"/>
      <c r="AO3029" s="340"/>
      <c r="AS3029" s="340"/>
      <c r="AX3029" s="340"/>
      <c r="BB3029" s="340"/>
      <c r="BD3029" s="339"/>
    </row>
    <row r="3030" spans="7:56" s="338" customFormat="1">
      <c r="G3030" s="340"/>
      <c r="L3030" s="340"/>
      <c r="P3030" s="340"/>
      <c r="U3030" s="340"/>
      <c r="V3030" s="340"/>
      <c r="Z3030" s="340"/>
      <c r="AE3030" s="340"/>
      <c r="AI3030" s="340"/>
      <c r="AN3030" s="340"/>
      <c r="AO3030" s="340"/>
      <c r="AS3030" s="340"/>
      <c r="AX3030" s="340"/>
      <c r="BB3030" s="340"/>
      <c r="BD3030" s="339"/>
    </row>
    <row r="3031" spans="7:56" s="338" customFormat="1">
      <c r="G3031" s="340"/>
      <c r="L3031" s="340"/>
      <c r="P3031" s="340"/>
      <c r="U3031" s="340"/>
      <c r="V3031" s="340"/>
      <c r="Z3031" s="340"/>
      <c r="AE3031" s="340"/>
      <c r="AI3031" s="340"/>
      <c r="AN3031" s="340"/>
      <c r="AO3031" s="340"/>
      <c r="AS3031" s="340"/>
      <c r="AX3031" s="340"/>
      <c r="BB3031" s="340"/>
      <c r="BD3031" s="339"/>
    </row>
    <row r="3032" spans="7:56" s="338" customFormat="1">
      <c r="G3032" s="340"/>
      <c r="L3032" s="340"/>
      <c r="P3032" s="340"/>
      <c r="U3032" s="340"/>
      <c r="V3032" s="340"/>
      <c r="Z3032" s="340"/>
      <c r="AE3032" s="340"/>
      <c r="AI3032" s="340"/>
      <c r="AN3032" s="340"/>
      <c r="AO3032" s="340"/>
      <c r="AS3032" s="340"/>
      <c r="AX3032" s="340"/>
      <c r="BB3032" s="340"/>
      <c r="BD3032" s="339"/>
    </row>
    <row r="3033" spans="7:56" s="338" customFormat="1">
      <c r="G3033" s="340"/>
      <c r="L3033" s="340"/>
      <c r="P3033" s="340"/>
      <c r="U3033" s="340"/>
      <c r="V3033" s="340"/>
      <c r="Z3033" s="340"/>
      <c r="AE3033" s="340"/>
      <c r="AI3033" s="340"/>
      <c r="AN3033" s="340"/>
      <c r="AO3033" s="340"/>
      <c r="AS3033" s="340"/>
      <c r="AX3033" s="340"/>
      <c r="BB3033" s="340"/>
      <c r="BD3033" s="339"/>
    </row>
    <row r="3034" spans="7:56" s="338" customFormat="1">
      <c r="G3034" s="340"/>
      <c r="L3034" s="340"/>
      <c r="P3034" s="340"/>
      <c r="U3034" s="340"/>
      <c r="V3034" s="340"/>
      <c r="Z3034" s="340"/>
      <c r="AE3034" s="340"/>
      <c r="AI3034" s="340"/>
      <c r="AN3034" s="340"/>
      <c r="AO3034" s="340"/>
      <c r="AS3034" s="340"/>
      <c r="AX3034" s="340"/>
      <c r="BB3034" s="340"/>
      <c r="BD3034" s="339"/>
    </row>
    <row r="3035" spans="7:56" s="338" customFormat="1">
      <c r="G3035" s="340"/>
      <c r="L3035" s="340"/>
      <c r="P3035" s="340"/>
      <c r="U3035" s="340"/>
      <c r="V3035" s="340"/>
      <c r="Z3035" s="340"/>
      <c r="AE3035" s="340"/>
      <c r="AI3035" s="340"/>
      <c r="AN3035" s="340"/>
      <c r="AO3035" s="340"/>
      <c r="AS3035" s="340"/>
      <c r="AX3035" s="340"/>
      <c r="BB3035" s="340"/>
      <c r="BD3035" s="339"/>
    </row>
    <row r="3036" spans="7:56" s="338" customFormat="1">
      <c r="G3036" s="340"/>
      <c r="L3036" s="340"/>
      <c r="P3036" s="340"/>
      <c r="U3036" s="340"/>
      <c r="V3036" s="340"/>
      <c r="Z3036" s="340"/>
      <c r="AE3036" s="340"/>
      <c r="AI3036" s="340"/>
      <c r="AN3036" s="340"/>
      <c r="AO3036" s="340"/>
      <c r="AS3036" s="340"/>
      <c r="AX3036" s="340"/>
      <c r="BB3036" s="340"/>
      <c r="BD3036" s="339"/>
    </row>
    <row r="3037" spans="7:56" s="338" customFormat="1">
      <c r="G3037" s="340"/>
      <c r="L3037" s="340"/>
      <c r="P3037" s="340"/>
      <c r="U3037" s="340"/>
      <c r="V3037" s="340"/>
      <c r="Z3037" s="340"/>
      <c r="AE3037" s="340"/>
      <c r="AI3037" s="340"/>
      <c r="AN3037" s="340"/>
      <c r="AO3037" s="340"/>
      <c r="AS3037" s="340"/>
      <c r="AX3037" s="340"/>
      <c r="BB3037" s="340"/>
      <c r="BD3037" s="339"/>
    </row>
    <row r="3038" spans="7:56" s="338" customFormat="1">
      <c r="G3038" s="340"/>
      <c r="L3038" s="340"/>
      <c r="P3038" s="340"/>
      <c r="U3038" s="340"/>
      <c r="V3038" s="340"/>
      <c r="Z3038" s="340"/>
      <c r="AE3038" s="340"/>
      <c r="AI3038" s="340"/>
      <c r="AN3038" s="340"/>
      <c r="AO3038" s="340"/>
      <c r="AS3038" s="340"/>
      <c r="AX3038" s="340"/>
      <c r="BB3038" s="340"/>
      <c r="BD3038" s="339"/>
    </row>
    <row r="3039" spans="7:56" s="338" customFormat="1">
      <c r="G3039" s="340"/>
      <c r="L3039" s="340"/>
      <c r="P3039" s="340"/>
      <c r="U3039" s="340"/>
      <c r="V3039" s="340"/>
      <c r="Z3039" s="340"/>
      <c r="AE3039" s="340"/>
      <c r="AI3039" s="340"/>
      <c r="AN3039" s="340"/>
      <c r="AO3039" s="340"/>
      <c r="AS3039" s="340"/>
      <c r="AX3039" s="340"/>
      <c r="BB3039" s="340"/>
      <c r="BD3039" s="339"/>
    </row>
    <row r="3040" spans="7:56" s="338" customFormat="1">
      <c r="G3040" s="340"/>
      <c r="L3040" s="340"/>
      <c r="P3040" s="340"/>
      <c r="U3040" s="340"/>
      <c r="V3040" s="340"/>
      <c r="Z3040" s="340"/>
      <c r="AE3040" s="340"/>
      <c r="AI3040" s="340"/>
      <c r="AN3040" s="340"/>
      <c r="AO3040" s="340"/>
      <c r="AS3040" s="340"/>
      <c r="AX3040" s="340"/>
      <c r="BB3040" s="340"/>
      <c r="BD3040" s="339"/>
    </row>
    <row r="3041" spans="7:56" s="338" customFormat="1">
      <c r="G3041" s="340"/>
      <c r="L3041" s="340"/>
      <c r="P3041" s="340"/>
      <c r="U3041" s="340"/>
      <c r="V3041" s="340"/>
      <c r="Z3041" s="340"/>
      <c r="AE3041" s="340"/>
      <c r="AI3041" s="340"/>
      <c r="AN3041" s="340"/>
      <c r="AO3041" s="340"/>
      <c r="AS3041" s="340"/>
      <c r="AX3041" s="340"/>
      <c r="BB3041" s="340"/>
      <c r="BD3041" s="339"/>
    </row>
    <row r="3042" spans="7:56" s="338" customFormat="1">
      <c r="G3042" s="340"/>
      <c r="L3042" s="340"/>
      <c r="P3042" s="340"/>
      <c r="U3042" s="340"/>
      <c r="V3042" s="340"/>
      <c r="Z3042" s="340"/>
      <c r="AE3042" s="340"/>
      <c r="AI3042" s="340"/>
      <c r="AN3042" s="340"/>
      <c r="AO3042" s="340"/>
      <c r="AS3042" s="340"/>
      <c r="AX3042" s="340"/>
      <c r="BB3042" s="340"/>
      <c r="BD3042" s="339"/>
    </row>
    <row r="3043" spans="7:56" s="338" customFormat="1">
      <c r="G3043" s="340"/>
      <c r="L3043" s="340"/>
      <c r="P3043" s="340"/>
      <c r="U3043" s="340"/>
      <c r="V3043" s="340"/>
      <c r="Z3043" s="340"/>
      <c r="AE3043" s="340"/>
      <c r="AI3043" s="340"/>
      <c r="AN3043" s="340"/>
      <c r="AO3043" s="340"/>
      <c r="AS3043" s="340"/>
      <c r="AX3043" s="340"/>
      <c r="BB3043" s="340"/>
      <c r="BD3043" s="339"/>
    </row>
    <row r="3044" spans="7:56" s="338" customFormat="1">
      <c r="G3044" s="340"/>
      <c r="L3044" s="340"/>
      <c r="P3044" s="340"/>
      <c r="U3044" s="340"/>
      <c r="V3044" s="340"/>
      <c r="Z3044" s="340"/>
      <c r="AE3044" s="340"/>
      <c r="AI3044" s="340"/>
      <c r="AN3044" s="340"/>
      <c r="AO3044" s="340"/>
      <c r="AS3044" s="340"/>
      <c r="AX3044" s="340"/>
      <c r="BB3044" s="340"/>
      <c r="BD3044" s="339"/>
    </row>
    <row r="3045" spans="7:56" s="338" customFormat="1">
      <c r="G3045" s="340"/>
      <c r="L3045" s="340"/>
      <c r="P3045" s="340"/>
      <c r="U3045" s="340"/>
      <c r="V3045" s="340"/>
      <c r="Z3045" s="340"/>
      <c r="AE3045" s="340"/>
      <c r="AI3045" s="340"/>
      <c r="AN3045" s="340"/>
      <c r="AO3045" s="340"/>
      <c r="AS3045" s="340"/>
      <c r="AX3045" s="340"/>
      <c r="BB3045" s="340"/>
      <c r="BD3045" s="339"/>
    </row>
    <row r="3046" spans="7:56" s="338" customFormat="1">
      <c r="G3046" s="340"/>
      <c r="L3046" s="340"/>
      <c r="P3046" s="340"/>
      <c r="U3046" s="340"/>
      <c r="V3046" s="340"/>
      <c r="Z3046" s="340"/>
      <c r="AE3046" s="340"/>
      <c r="AI3046" s="340"/>
      <c r="AN3046" s="340"/>
      <c r="AO3046" s="340"/>
      <c r="AS3046" s="340"/>
      <c r="AX3046" s="340"/>
      <c r="BB3046" s="340"/>
      <c r="BD3046" s="339"/>
    </row>
    <row r="3047" spans="7:56" s="338" customFormat="1">
      <c r="G3047" s="340"/>
      <c r="L3047" s="340"/>
      <c r="P3047" s="340"/>
      <c r="U3047" s="340"/>
      <c r="V3047" s="340"/>
      <c r="Z3047" s="340"/>
      <c r="AE3047" s="340"/>
      <c r="AI3047" s="340"/>
      <c r="AN3047" s="340"/>
      <c r="AO3047" s="340"/>
      <c r="AS3047" s="340"/>
      <c r="AX3047" s="340"/>
      <c r="BB3047" s="340"/>
      <c r="BD3047" s="339"/>
    </row>
    <row r="3048" spans="7:56" s="338" customFormat="1">
      <c r="G3048" s="340"/>
      <c r="L3048" s="340"/>
      <c r="P3048" s="340"/>
      <c r="U3048" s="340"/>
      <c r="V3048" s="340"/>
      <c r="Z3048" s="340"/>
      <c r="AE3048" s="340"/>
      <c r="AI3048" s="340"/>
      <c r="AN3048" s="340"/>
      <c r="AO3048" s="340"/>
      <c r="AS3048" s="340"/>
      <c r="AX3048" s="340"/>
      <c r="BB3048" s="340"/>
      <c r="BD3048" s="339"/>
    </row>
    <row r="3049" spans="7:56" s="338" customFormat="1">
      <c r="G3049" s="340"/>
      <c r="L3049" s="340"/>
      <c r="P3049" s="340"/>
      <c r="U3049" s="340"/>
      <c r="V3049" s="340"/>
      <c r="Z3049" s="340"/>
      <c r="AE3049" s="340"/>
      <c r="AI3049" s="340"/>
      <c r="AN3049" s="340"/>
      <c r="AO3049" s="340"/>
      <c r="AS3049" s="340"/>
      <c r="AX3049" s="340"/>
      <c r="BB3049" s="340"/>
      <c r="BD3049" s="339"/>
    </row>
    <row r="3050" spans="7:56" s="338" customFormat="1">
      <c r="G3050" s="340"/>
      <c r="L3050" s="340"/>
      <c r="P3050" s="340"/>
      <c r="U3050" s="340"/>
      <c r="V3050" s="340"/>
      <c r="Z3050" s="340"/>
      <c r="AE3050" s="340"/>
      <c r="AI3050" s="340"/>
      <c r="AN3050" s="340"/>
      <c r="AO3050" s="340"/>
      <c r="AS3050" s="340"/>
      <c r="AX3050" s="340"/>
      <c r="BB3050" s="340"/>
      <c r="BD3050" s="339"/>
    </row>
    <row r="3051" spans="7:56" s="338" customFormat="1">
      <c r="G3051" s="340"/>
      <c r="L3051" s="340"/>
      <c r="P3051" s="340"/>
      <c r="U3051" s="340"/>
      <c r="V3051" s="340"/>
      <c r="Z3051" s="340"/>
      <c r="AE3051" s="340"/>
      <c r="AI3051" s="340"/>
      <c r="AN3051" s="340"/>
      <c r="AO3051" s="340"/>
      <c r="AS3051" s="340"/>
      <c r="AX3051" s="340"/>
      <c r="BB3051" s="340"/>
      <c r="BD3051" s="339"/>
    </row>
    <row r="3052" spans="7:56" s="338" customFormat="1">
      <c r="G3052" s="340"/>
      <c r="L3052" s="340"/>
      <c r="P3052" s="340"/>
      <c r="U3052" s="340"/>
      <c r="V3052" s="340"/>
      <c r="Z3052" s="340"/>
      <c r="AE3052" s="340"/>
      <c r="AI3052" s="340"/>
      <c r="AN3052" s="340"/>
      <c r="AO3052" s="340"/>
      <c r="AS3052" s="340"/>
      <c r="AX3052" s="340"/>
      <c r="BB3052" s="340"/>
      <c r="BD3052" s="339"/>
    </row>
    <row r="3053" spans="7:56" s="338" customFormat="1">
      <c r="G3053" s="340"/>
      <c r="L3053" s="340"/>
      <c r="P3053" s="340"/>
      <c r="U3053" s="340"/>
      <c r="V3053" s="340"/>
      <c r="Z3053" s="340"/>
      <c r="AE3053" s="340"/>
      <c r="AI3053" s="340"/>
      <c r="AN3053" s="340"/>
      <c r="AO3053" s="340"/>
      <c r="AS3053" s="340"/>
      <c r="AX3053" s="340"/>
      <c r="BB3053" s="340"/>
      <c r="BD3053" s="339"/>
    </row>
    <row r="3054" spans="7:56" s="338" customFormat="1">
      <c r="G3054" s="340"/>
      <c r="L3054" s="340"/>
      <c r="P3054" s="340"/>
      <c r="U3054" s="340"/>
      <c r="V3054" s="340"/>
      <c r="Z3054" s="340"/>
      <c r="AE3054" s="340"/>
      <c r="AI3054" s="340"/>
      <c r="AN3054" s="340"/>
      <c r="AO3054" s="340"/>
      <c r="AS3054" s="340"/>
      <c r="AX3054" s="340"/>
      <c r="BB3054" s="340"/>
      <c r="BD3054" s="339"/>
    </row>
    <row r="3055" spans="7:56" s="338" customFormat="1">
      <c r="G3055" s="340"/>
      <c r="L3055" s="340"/>
      <c r="P3055" s="340"/>
      <c r="U3055" s="340"/>
      <c r="V3055" s="340"/>
      <c r="Z3055" s="340"/>
      <c r="AE3055" s="340"/>
      <c r="AI3055" s="340"/>
      <c r="AN3055" s="340"/>
      <c r="AO3055" s="340"/>
      <c r="AS3055" s="340"/>
      <c r="AX3055" s="340"/>
      <c r="BB3055" s="340"/>
      <c r="BD3055" s="339"/>
    </row>
    <row r="3056" spans="7:56" s="338" customFormat="1">
      <c r="G3056" s="340"/>
      <c r="L3056" s="340"/>
      <c r="P3056" s="340"/>
      <c r="U3056" s="340"/>
      <c r="V3056" s="340"/>
      <c r="Z3056" s="340"/>
      <c r="AE3056" s="340"/>
      <c r="AI3056" s="340"/>
      <c r="AN3056" s="340"/>
      <c r="AO3056" s="340"/>
      <c r="AS3056" s="340"/>
      <c r="AX3056" s="340"/>
      <c r="BB3056" s="340"/>
      <c r="BD3056" s="339"/>
    </row>
    <row r="3057" spans="7:56" s="338" customFormat="1">
      <c r="G3057" s="340"/>
      <c r="L3057" s="340"/>
      <c r="P3057" s="340"/>
      <c r="U3057" s="340"/>
      <c r="V3057" s="340"/>
      <c r="Z3057" s="340"/>
      <c r="AE3057" s="340"/>
      <c r="AI3057" s="340"/>
      <c r="AN3057" s="340"/>
      <c r="AO3057" s="340"/>
      <c r="AS3057" s="340"/>
      <c r="AX3057" s="340"/>
      <c r="BB3057" s="340"/>
      <c r="BD3057" s="339"/>
    </row>
    <row r="3058" spans="7:56" s="338" customFormat="1">
      <c r="G3058" s="340"/>
      <c r="L3058" s="340"/>
      <c r="P3058" s="340"/>
      <c r="U3058" s="340"/>
      <c r="V3058" s="340"/>
      <c r="Z3058" s="340"/>
      <c r="AE3058" s="340"/>
      <c r="AI3058" s="340"/>
      <c r="AN3058" s="340"/>
      <c r="AO3058" s="340"/>
      <c r="AS3058" s="340"/>
      <c r="AX3058" s="340"/>
      <c r="BB3058" s="340"/>
      <c r="BD3058" s="339"/>
    </row>
    <row r="3059" spans="7:56" s="338" customFormat="1">
      <c r="G3059" s="340"/>
      <c r="L3059" s="340"/>
      <c r="P3059" s="340"/>
      <c r="U3059" s="340"/>
      <c r="V3059" s="340"/>
      <c r="Z3059" s="340"/>
      <c r="AE3059" s="340"/>
      <c r="AI3059" s="340"/>
      <c r="AN3059" s="340"/>
      <c r="AO3059" s="340"/>
      <c r="AS3059" s="340"/>
      <c r="AX3059" s="340"/>
      <c r="BB3059" s="340"/>
      <c r="BD3059" s="339"/>
    </row>
    <row r="3060" spans="7:56" s="338" customFormat="1">
      <c r="G3060" s="340"/>
      <c r="L3060" s="340"/>
      <c r="P3060" s="340"/>
      <c r="U3060" s="340"/>
      <c r="V3060" s="340"/>
      <c r="Z3060" s="340"/>
      <c r="AE3060" s="340"/>
      <c r="AI3060" s="340"/>
      <c r="AN3060" s="340"/>
      <c r="AO3060" s="340"/>
      <c r="AS3060" s="340"/>
      <c r="AX3060" s="340"/>
      <c r="BB3060" s="340"/>
      <c r="BD3060" s="339"/>
    </row>
    <row r="3061" spans="7:56" s="338" customFormat="1">
      <c r="G3061" s="340"/>
      <c r="L3061" s="340"/>
      <c r="P3061" s="340"/>
      <c r="U3061" s="340"/>
      <c r="V3061" s="340"/>
      <c r="Z3061" s="340"/>
      <c r="AE3061" s="340"/>
      <c r="AI3061" s="340"/>
      <c r="AN3061" s="340"/>
      <c r="AO3061" s="340"/>
      <c r="AS3061" s="340"/>
      <c r="AX3061" s="340"/>
      <c r="BB3061" s="340"/>
      <c r="BD3061" s="339"/>
    </row>
    <row r="3062" spans="7:56" s="338" customFormat="1">
      <c r="G3062" s="340"/>
      <c r="L3062" s="340"/>
      <c r="P3062" s="340"/>
      <c r="U3062" s="340"/>
      <c r="V3062" s="340"/>
      <c r="Z3062" s="340"/>
      <c r="AE3062" s="340"/>
      <c r="AI3062" s="340"/>
      <c r="AN3062" s="340"/>
      <c r="AO3062" s="340"/>
      <c r="AS3062" s="340"/>
      <c r="AX3062" s="340"/>
      <c r="BB3062" s="340"/>
      <c r="BD3062" s="339"/>
    </row>
    <row r="3063" spans="7:56" s="338" customFormat="1">
      <c r="G3063" s="340"/>
      <c r="L3063" s="340"/>
      <c r="P3063" s="340"/>
      <c r="U3063" s="340"/>
      <c r="V3063" s="340"/>
      <c r="Z3063" s="340"/>
      <c r="AE3063" s="340"/>
      <c r="AI3063" s="340"/>
      <c r="AN3063" s="340"/>
      <c r="AO3063" s="340"/>
      <c r="AS3063" s="340"/>
      <c r="AX3063" s="340"/>
      <c r="BB3063" s="340"/>
      <c r="BD3063" s="339"/>
    </row>
    <row r="3064" spans="7:56" s="338" customFormat="1">
      <c r="G3064" s="340"/>
      <c r="L3064" s="340"/>
      <c r="P3064" s="340"/>
      <c r="U3064" s="340"/>
      <c r="V3064" s="340"/>
      <c r="Z3064" s="340"/>
      <c r="AE3064" s="340"/>
      <c r="AI3064" s="340"/>
      <c r="AN3064" s="340"/>
      <c r="AO3064" s="340"/>
      <c r="AS3064" s="340"/>
      <c r="AX3064" s="340"/>
      <c r="BB3064" s="340"/>
      <c r="BD3064" s="339"/>
    </row>
    <row r="3065" spans="7:56" s="338" customFormat="1">
      <c r="G3065" s="340"/>
      <c r="L3065" s="340"/>
      <c r="P3065" s="340"/>
      <c r="U3065" s="340"/>
      <c r="V3065" s="340"/>
      <c r="Z3065" s="340"/>
      <c r="AE3065" s="340"/>
      <c r="AI3065" s="340"/>
      <c r="AN3065" s="340"/>
      <c r="AO3065" s="340"/>
      <c r="AS3065" s="340"/>
      <c r="AX3065" s="340"/>
      <c r="BB3065" s="340"/>
      <c r="BD3065" s="339"/>
    </row>
    <row r="3066" spans="7:56" s="338" customFormat="1">
      <c r="G3066" s="340"/>
      <c r="L3066" s="340"/>
      <c r="P3066" s="340"/>
      <c r="U3066" s="340"/>
      <c r="V3066" s="340"/>
      <c r="Z3066" s="340"/>
      <c r="AE3066" s="340"/>
      <c r="AI3066" s="340"/>
      <c r="AN3066" s="340"/>
      <c r="AO3066" s="340"/>
      <c r="AS3066" s="340"/>
      <c r="AX3066" s="340"/>
      <c r="BB3066" s="340"/>
      <c r="BD3066" s="339"/>
    </row>
    <row r="3067" spans="7:56" s="338" customFormat="1">
      <c r="G3067" s="340"/>
      <c r="L3067" s="340"/>
      <c r="P3067" s="340"/>
      <c r="U3067" s="340"/>
      <c r="V3067" s="340"/>
      <c r="Z3067" s="340"/>
      <c r="AE3067" s="340"/>
      <c r="AI3067" s="340"/>
      <c r="AN3067" s="340"/>
      <c r="AO3067" s="340"/>
      <c r="AS3067" s="340"/>
      <c r="AX3067" s="340"/>
      <c r="BB3067" s="340"/>
      <c r="BD3067" s="339"/>
    </row>
    <row r="3068" spans="7:56" s="338" customFormat="1">
      <c r="G3068" s="340"/>
      <c r="L3068" s="340"/>
      <c r="P3068" s="340"/>
      <c r="U3068" s="340"/>
      <c r="V3068" s="340"/>
      <c r="Z3068" s="340"/>
      <c r="AE3068" s="340"/>
      <c r="AI3068" s="340"/>
      <c r="AN3068" s="340"/>
      <c r="AO3068" s="340"/>
      <c r="AS3068" s="340"/>
      <c r="AX3068" s="340"/>
      <c r="BB3068" s="340"/>
      <c r="BD3068" s="339"/>
    </row>
    <row r="3069" spans="7:56" s="338" customFormat="1">
      <c r="G3069" s="340"/>
      <c r="L3069" s="340"/>
      <c r="P3069" s="340"/>
      <c r="U3069" s="340"/>
      <c r="V3069" s="340"/>
      <c r="Z3069" s="340"/>
      <c r="AE3069" s="340"/>
      <c r="AI3069" s="340"/>
      <c r="AN3069" s="340"/>
      <c r="AO3069" s="340"/>
      <c r="AS3069" s="340"/>
      <c r="AX3069" s="340"/>
      <c r="BB3069" s="340"/>
      <c r="BD3069" s="339"/>
    </row>
    <row r="3070" spans="7:56" s="338" customFormat="1">
      <c r="G3070" s="340"/>
      <c r="L3070" s="340"/>
      <c r="P3070" s="340"/>
      <c r="U3070" s="340"/>
      <c r="V3070" s="340"/>
      <c r="Z3070" s="340"/>
      <c r="AE3070" s="340"/>
      <c r="AI3070" s="340"/>
      <c r="AN3070" s="340"/>
      <c r="AO3070" s="340"/>
      <c r="AS3070" s="340"/>
      <c r="AX3070" s="340"/>
      <c r="BB3070" s="340"/>
      <c r="BD3070" s="339"/>
    </row>
    <row r="3071" spans="7:56" s="338" customFormat="1">
      <c r="G3071" s="340"/>
      <c r="L3071" s="340"/>
      <c r="P3071" s="340"/>
      <c r="U3071" s="340"/>
      <c r="V3071" s="340"/>
      <c r="Z3071" s="340"/>
      <c r="AE3071" s="340"/>
      <c r="AI3071" s="340"/>
      <c r="AN3071" s="340"/>
      <c r="AO3071" s="340"/>
      <c r="AS3071" s="340"/>
      <c r="AX3071" s="340"/>
      <c r="BB3071" s="340"/>
      <c r="BD3071" s="339"/>
    </row>
    <row r="3072" spans="7:56" s="338" customFormat="1">
      <c r="G3072" s="340"/>
      <c r="L3072" s="340"/>
      <c r="P3072" s="340"/>
      <c r="U3072" s="340"/>
      <c r="V3072" s="340"/>
      <c r="Z3072" s="340"/>
      <c r="AE3072" s="340"/>
      <c r="AI3072" s="340"/>
      <c r="AN3072" s="340"/>
      <c r="AO3072" s="340"/>
      <c r="AS3072" s="340"/>
      <c r="AX3072" s="340"/>
      <c r="BB3072" s="340"/>
      <c r="BD3072" s="339"/>
    </row>
    <row r="3073" spans="7:56" s="338" customFormat="1">
      <c r="G3073" s="340"/>
      <c r="L3073" s="340"/>
      <c r="P3073" s="340"/>
      <c r="U3073" s="340"/>
      <c r="V3073" s="340"/>
      <c r="Z3073" s="340"/>
      <c r="AE3073" s="340"/>
      <c r="AI3073" s="340"/>
      <c r="AN3073" s="340"/>
      <c r="AO3073" s="340"/>
      <c r="AS3073" s="340"/>
      <c r="AX3073" s="340"/>
      <c r="BB3073" s="340"/>
      <c r="BD3073" s="339"/>
    </row>
    <row r="3074" spans="7:56" s="338" customFormat="1">
      <c r="G3074" s="340"/>
      <c r="L3074" s="340"/>
      <c r="P3074" s="340"/>
      <c r="U3074" s="340"/>
      <c r="V3074" s="340"/>
      <c r="Z3074" s="340"/>
      <c r="AE3074" s="340"/>
      <c r="AI3074" s="340"/>
      <c r="AN3074" s="340"/>
      <c r="AO3074" s="340"/>
      <c r="AS3074" s="340"/>
      <c r="AX3074" s="340"/>
      <c r="BB3074" s="340"/>
      <c r="BD3074" s="339"/>
    </row>
    <row r="3075" spans="7:56" s="338" customFormat="1">
      <c r="G3075" s="340"/>
      <c r="L3075" s="340"/>
      <c r="P3075" s="340"/>
      <c r="U3075" s="340"/>
      <c r="V3075" s="340"/>
      <c r="Z3075" s="340"/>
      <c r="AE3075" s="340"/>
      <c r="AI3075" s="340"/>
      <c r="AN3075" s="340"/>
      <c r="AO3075" s="340"/>
      <c r="AS3075" s="340"/>
      <c r="AX3075" s="340"/>
      <c r="BB3075" s="340"/>
      <c r="BD3075" s="339"/>
    </row>
    <row r="3076" spans="7:56" s="338" customFormat="1">
      <c r="G3076" s="340"/>
      <c r="L3076" s="340"/>
      <c r="P3076" s="340"/>
      <c r="U3076" s="340"/>
      <c r="V3076" s="340"/>
      <c r="Z3076" s="340"/>
      <c r="AE3076" s="340"/>
      <c r="AI3076" s="340"/>
      <c r="AN3076" s="340"/>
      <c r="AO3076" s="340"/>
      <c r="AS3076" s="340"/>
      <c r="AX3076" s="340"/>
      <c r="BB3076" s="340"/>
      <c r="BD3076" s="339"/>
    </row>
    <row r="3077" spans="7:56" s="338" customFormat="1">
      <c r="G3077" s="340"/>
      <c r="L3077" s="340"/>
      <c r="P3077" s="340"/>
      <c r="U3077" s="340"/>
      <c r="V3077" s="340"/>
      <c r="Z3077" s="340"/>
      <c r="AE3077" s="340"/>
      <c r="AI3077" s="340"/>
      <c r="AN3077" s="340"/>
      <c r="AO3077" s="340"/>
      <c r="AS3077" s="340"/>
      <c r="AX3077" s="340"/>
      <c r="BB3077" s="340"/>
      <c r="BD3077" s="339"/>
    </row>
    <row r="3078" spans="7:56" s="338" customFormat="1">
      <c r="G3078" s="340"/>
      <c r="L3078" s="340"/>
      <c r="P3078" s="340"/>
      <c r="U3078" s="340"/>
      <c r="V3078" s="340"/>
      <c r="Z3078" s="340"/>
      <c r="AE3078" s="340"/>
      <c r="AI3078" s="340"/>
      <c r="AN3078" s="340"/>
      <c r="AO3078" s="340"/>
      <c r="AS3078" s="340"/>
      <c r="AX3078" s="340"/>
      <c r="BB3078" s="340"/>
      <c r="BD3078" s="339"/>
    </row>
    <row r="3079" spans="7:56" s="338" customFormat="1">
      <c r="G3079" s="340"/>
      <c r="L3079" s="340"/>
      <c r="P3079" s="340"/>
      <c r="U3079" s="340"/>
      <c r="V3079" s="340"/>
      <c r="Z3079" s="340"/>
      <c r="AE3079" s="340"/>
      <c r="AI3079" s="340"/>
      <c r="AN3079" s="340"/>
      <c r="AO3079" s="340"/>
      <c r="AS3079" s="340"/>
      <c r="AX3079" s="340"/>
      <c r="BB3079" s="340"/>
      <c r="BD3079" s="339"/>
    </row>
    <row r="3080" spans="7:56" s="338" customFormat="1">
      <c r="G3080" s="340"/>
      <c r="L3080" s="340"/>
      <c r="P3080" s="340"/>
      <c r="U3080" s="340"/>
      <c r="V3080" s="340"/>
      <c r="Z3080" s="340"/>
      <c r="AE3080" s="340"/>
      <c r="AI3080" s="340"/>
      <c r="AN3080" s="340"/>
      <c r="AO3080" s="340"/>
      <c r="AS3080" s="340"/>
      <c r="AX3080" s="340"/>
      <c r="BB3080" s="340"/>
      <c r="BD3080" s="339"/>
    </row>
    <row r="3081" spans="7:56" s="338" customFormat="1">
      <c r="G3081" s="340"/>
      <c r="L3081" s="340"/>
      <c r="P3081" s="340"/>
      <c r="U3081" s="340"/>
      <c r="V3081" s="340"/>
      <c r="Z3081" s="340"/>
      <c r="AE3081" s="340"/>
      <c r="AI3081" s="340"/>
      <c r="AN3081" s="340"/>
      <c r="AO3081" s="340"/>
      <c r="AS3081" s="340"/>
      <c r="AX3081" s="340"/>
      <c r="BB3081" s="340"/>
      <c r="BD3081" s="339"/>
    </row>
    <row r="3082" spans="7:56" s="338" customFormat="1">
      <c r="G3082" s="340"/>
      <c r="L3082" s="340"/>
      <c r="P3082" s="340"/>
      <c r="U3082" s="340"/>
      <c r="V3082" s="340"/>
      <c r="Z3082" s="340"/>
      <c r="AE3082" s="340"/>
      <c r="AI3082" s="340"/>
      <c r="AN3082" s="340"/>
      <c r="AO3082" s="340"/>
      <c r="AS3082" s="340"/>
      <c r="AX3082" s="340"/>
      <c r="BB3082" s="340"/>
      <c r="BD3082" s="339"/>
    </row>
    <row r="3083" spans="7:56" s="338" customFormat="1">
      <c r="G3083" s="340"/>
      <c r="L3083" s="340"/>
      <c r="P3083" s="340"/>
      <c r="U3083" s="340"/>
      <c r="V3083" s="340"/>
      <c r="Z3083" s="340"/>
      <c r="AE3083" s="340"/>
      <c r="AI3083" s="340"/>
      <c r="AN3083" s="340"/>
      <c r="AO3083" s="340"/>
      <c r="AS3083" s="340"/>
      <c r="AX3083" s="340"/>
      <c r="BB3083" s="340"/>
      <c r="BD3083" s="339"/>
    </row>
    <row r="3084" spans="7:56" s="338" customFormat="1">
      <c r="G3084" s="340"/>
      <c r="L3084" s="340"/>
      <c r="P3084" s="340"/>
      <c r="U3084" s="340"/>
      <c r="V3084" s="340"/>
      <c r="Z3084" s="340"/>
      <c r="AE3084" s="340"/>
      <c r="AI3084" s="340"/>
      <c r="AN3084" s="340"/>
      <c r="AO3084" s="340"/>
      <c r="AS3084" s="340"/>
      <c r="AX3084" s="340"/>
      <c r="BB3084" s="340"/>
      <c r="BD3084" s="339"/>
    </row>
    <row r="3085" spans="7:56" s="338" customFormat="1">
      <c r="G3085" s="340"/>
      <c r="L3085" s="340"/>
      <c r="P3085" s="340"/>
      <c r="U3085" s="340"/>
      <c r="V3085" s="340"/>
      <c r="Z3085" s="340"/>
      <c r="AE3085" s="340"/>
      <c r="AI3085" s="340"/>
      <c r="AN3085" s="340"/>
      <c r="AO3085" s="340"/>
      <c r="AS3085" s="340"/>
      <c r="AX3085" s="340"/>
      <c r="BB3085" s="340"/>
      <c r="BD3085" s="339"/>
    </row>
    <row r="3086" spans="7:56" s="338" customFormat="1">
      <c r="G3086" s="340"/>
      <c r="L3086" s="340"/>
      <c r="P3086" s="340"/>
      <c r="U3086" s="340"/>
      <c r="V3086" s="340"/>
      <c r="Z3086" s="340"/>
      <c r="AE3086" s="340"/>
      <c r="AI3086" s="340"/>
      <c r="AN3086" s="340"/>
      <c r="AO3086" s="340"/>
      <c r="AS3086" s="340"/>
      <c r="AX3086" s="340"/>
      <c r="BB3086" s="340"/>
      <c r="BD3086" s="339"/>
    </row>
    <row r="3087" spans="7:56" s="338" customFormat="1">
      <c r="G3087" s="340"/>
      <c r="L3087" s="340"/>
      <c r="P3087" s="340"/>
      <c r="U3087" s="340"/>
      <c r="V3087" s="340"/>
      <c r="Z3087" s="340"/>
      <c r="AE3087" s="340"/>
      <c r="AI3087" s="340"/>
      <c r="AN3087" s="340"/>
      <c r="AO3087" s="340"/>
      <c r="AS3087" s="340"/>
      <c r="AX3087" s="340"/>
      <c r="BB3087" s="340"/>
      <c r="BD3087" s="339"/>
    </row>
    <row r="3088" spans="7:56" s="338" customFormat="1">
      <c r="G3088" s="340"/>
      <c r="L3088" s="340"/>
      <c r="P3088" s="340"/>
      <c r="U3088" s="340"/>
      <c r="V3088" s="340"/>
      <c r="Z3088" s="340"/>
      <c r="AE3088" s="340"/>
      <c r="AI3088" s="340"/>
      <c r="AN3088" s="340"/>
      <c r="AO3088" s="340"/>
      <c r="AS3088" s="340"/>
      <c r="AX3088" s="340"/>
      <c r="BB3088" s="340"/>
      <c r="BD3088" s="339"/>
    </row>
    <row r="3089" spans="7:56" s="338" customFormat="1">
      <c r="G3089" s="340"/>
      <c r="L3089" s="340"/>
      <c r="P3089" s="340"/>
      <c r="U3089" s="340"/>
      <c r="V3089" s="340"/>
      <c r="Z3089" s="340"/>
      <c r="AE3089" s="340"/>
      <c r="AI3089" s="340"/>
      <c r="AN3089" s="340"/>
      <c r="AO3089" s="340"/>
      <c r="AS3089" s="340"/>
      <c r="AX3089" s="340"/>
      <c r="BB3089" s="340"/>
      <c r="BD3089" s="339"/>
    </row>
    <row r="3090" spans="7:56" s="338" customFormat="1">
      <c r="G3090" s="340"/>
      <c r="L3090" s="340"/>
      <c r="P3090" s="340"/>
      <c r="U3090" s="340"/>
      <c r="V3090" s="340"/>
      <c r="Z3090" s="340"/>
      <c r="AE3090" s="340"/>
      <c r="AI3090" s="340"/>
      <c r="AN3090" s="340"/>
      <c r="AO3090" s="340"/>
      <c r="AS3090" s="340"/>
      <c r="AX3090" s="340"/>
      <c r="BB3090" s="340"/>
      <c r="BD3090" s="339"/>
    </row>
    <row r="3091" spans="7:56" s="338" customFormat="1">
      <c r="G3091" s="340"/>
      <c r="L3091" s="340"/>
      <c r="P3091" s="340"/>
      <c r="U3091" s="340"/>
      <c r="V3091" s="340"/>
      <c r="Z3091" s="340"/>
      <c r="AE3091" s="340"/>
      <c r="AI3091" s="340"/>
      <c r="AN3091" s="340"/>
      <c r="AO3091" s="340"/>
      <c r="AS3091" s="340"/>
      <c r="AX3091" s="340"/>
      <c r="BB3091" s="340"/>
      <c r="BD3091" s="339"/>
    </row>
    <row r="3092" spans="7:56" s="338" customFormat="1">
      <c r="G3092" s="340"/>
      <c r="L3092" s="340"/>
      <c r="P3092" s="340"/>
      <c r="U3092" s="340"/>
      <c r="V3092" s="340"/>
      <c r="Z3092" s="340"/>
      <c r="AE3092" s="340"/>
      <c r="AI3092" s="340"/>
      <c r="AN3092" s="340"/>
      <c r="AO3092" s="340"/>
      <c r="AS3092" s="340"/>
      <c r="AX3092" s="340"/>
      <c r="BB3092" s="340"/>
      <c r="BD3092" s="339"/>
    </row>
    <row r="3093" spans="7:56" s="338" customFormat="1">
      <c r="G3093" s="340"/>
      <c r="L3093" s="340"/>
      <c r="P3093" s="340"/>
      <c r="U3093" s="340"/>
      <c r="V3093" s="340"/>
      <c r="Z3093" s="340"/>
      <c r="AE3093" s="340"/>
      <c r="AI3093" s="340"/>
      <c r="AN3093" s="340"/>
      <c r="AO3093" s="340"/>
      <c r="AS3093" s="340"/>
      <c r="AX3093" s="340"/>
      <c r="BB3093" s="340"/>
      <c r="BD3093" s="339"/>
    </row>
    <row r="3094" spans="7:56" s="338" customFormat="1">
      <c r="G3094" s="340"/>
      <c r="L3094" s="340"/>
      <c r="P3094" s="340"/>
      <c r="U3094" s="340"/>
      <c r="V3094" s="340"/>
      <c r="Z3094" s="340"/>
      <c r="AE3094" s="340"/>
      <c r="AI3094" s="340"/>
      <c r="AN3094" s="340"/>
      <c r="AO3094" s="340"/>
      <c r="AS3094" s="340"/>
      <c r="AX3094" s="340"/>
      <c r="BB3094" s="340"/>
      <c r="BD3094" s="339"/>
    </row>
    <row r="3095" spans="7:56" s="338" customFormat="1">
      <c r="G3095" s="340"/>
      <c r="L3095" s="340"/>
      <c r="P3095" s="340"/>
      <c r="U3095" s="340"/>
      <c r="V3095" s="340"/>
      <c r="Z3095" s="340"/>
      <c r="AE3095" s="340"/>
      <c r="AI3095" s="340"/>
      <c r="AN3095" s="340"/>
      <c r="AO3095" s="340"/>
      <c r="AS3095" s="340"/>
      <c r="AX3095" s="340"/>
      <c r="BB3095" s="340"/>
      <c r="BD3095" s="339"/>
    </row>
    <row r="3096" spans="7:56" s="338" customFormat="1">
      <c r="G3096" s="340"/>
      <c r="L3096" s="340"/>
      <c r="P3096" s="340"/>
      <c r="U3096" s="340"/>
      <c r="V3096" s="340"/>
      <c r="Z3096" s="340"/>
      <c r="AE3096" s="340"/>
      <c r="AI3096" s="340"/>
      <c r="AN3096" s="340"/>
      <c r="AO3096" s="340"/>
      <c r="AS3096" s="340"/>
      <c r="AX3096" s="340"/>
      <c r="BB3096" s="340"/>
      <c r="BD3096" s="339"/>
    </row>
    <row r="3097" spans="7:56" s="338" customFormat="1">
      <c r="G3097" s="340"/>
      <c r="L3097" s="340"/>
      <c r="P3097" s="340"/>
      <c r="U3097" s="340"/>
      <c r="V3097" s="340"/>
      <c r="Z3097" s="340"/>
      <c r="AE3097" s="340"/>
      <c r="AI3097" s="340"/>
      <c r="AN3097" s="340"/>
      <c r="AO3097" s="340"/>
      <c r="AS3097" s="340"/>
      <c r="AX3097" s="340"/>
      <c r="BB3097" s="340"/>
      <c r="BD3097" s="339"/>
    </row>
    <row r="3098" spans="7:56" s="338" customFormat="1">
      <c r="G3098" s="340"/>
      <c r="L3098" s="340"/>
      <c r="P3098" s="340"/>
      <c r="U3098" s="340"/>
      <c r="V3098" s="340"/>
      <c r="Z3098" s="340"/>
      <c r="AE3098" s="340"/>
      <c r="AI3098" s="340"/>
      <c r="AN3098" s="340"/>
      <c r="AO3098" s="340"/>
      <c r="AS3098" s="340"/>
      <c r="AX3098" s="340"/>
      <c r="BB3098" s="340"/>
      <c r="BD3098" s="339"/>
    </row>
    <row r="3099" spans="7:56" s="338" customFormat="1">
      <c r="G3099" s="340"/>
      <c r="L3099" s="340"/>
      <c r="P3099" s="340"/>
      <c r="U3099" s="340"/>
      <c r="V3099" s="340"/>
      <c r="Z3099" s="340"/>
      <c r="AE3099" s="340"/>
      <c r="AI3099" s="340"/>
      <c r="AN3099" s="340"/>
      <c r="AO3099" s="340"/>
      <c r="AS3099" s="340"/>
      <c r="AX3099" s="340"/>
      <c r="BB3099" s="340"/>
      <c r="BD3099" s="339"/>
    </row>
    <row r="3100" spans="7:56" s="338" customFormat="1">
      <c r="G3100" s="340"/>
      <c r="L3100" s="340"/>
      <c r="P3100" s="340"/>
      <c r="U3100" s="340"/>
      <c r="V3100" s="340"/>
      <c r="Z3100" s="340"/>
      <c r="AE3100" s="340"/>
      <c r="AI3100" s="340"/>
      <c r="AN3100" s="340"/>
      <c r="AO3100" s="340"/>
      <c r="AS3100" s="340"/>
      <c r="AX3100" s="340"/>
      <c r="BB3100" s="340"/>
      <c r="BD3100" s="339"/>
    </row>
    <row r="3101" spans="7:56" s="338" customFormat="1">
      <c r="G3101" s="340"/>
      <c r="L3101" s="340"/>
      <c r="P3101" s="340"/>
      <c r="U3101" s="340"/>
      <c r="V3101" s="340"/>
      <c r="Z3101" s="340"/>
      <c r="AE3101" s="340"/>
      <c r="AI3101" s="340"/>
      <c r="AN3101" s="340"/>
      <c r="AO3101" s="340"/>
      <c r="AS3101" s="340"/>
      <c r="AX3101" s="340"/>
      <c r="BB3101" s="340"/>
      <c r="BD3101" s="339"/>
    </row>
    <row r="3102" spans="7:56" s="338" customFormat="1">
      <c r="G3102" s="340"/>
      <c r="L3102" s="340"/>
      <c r="P3102" s="340"/>
      <c r="U3102" s="340"/>
      <c r="V3102" s="340"/>
      <c r="Z3102" s="340"/>
      <c r="AE3102" s="340"/>
      <c r="AI3102" s="340"/>
      <c r="AN3102" s="340"/>
      <c r="AO3102" s="340"/>
      <c r="AS3102" s="340"/>
      <c r="AX3102" s="340"/>
      <c r="BB3102" s="340"/>
      <c r="BD3102" s="339"/>
    </row>
    <row r="3103" spans="7:56" s="338" customFormat="1">
      <c r="G3103" s="340"/>
      <c r="L3103" s="340"/>
      <c r="P3103" s="340"/>
      <c r="U3103" s="340"/>
      <c r="V3103" s="340"/>
      <c r="Z3103" s="340"/>
      <c r="AE3103" s="340"/>
      <c r="AI3103" s="340"/>
      <c r="AN3103" s="340"/>
      <c r="AO3103" s="340"/>
      <c r="AS3103" s="340"/>
      <c r="AX3103" s="340"/>
      <c r="BB3103" s="340"/>
      <c r="BD3103" s="339"/>
    </row>
    <row r="3104" spans="7:56" s="338" customFormat="1">
      <c r="G3104" s="340"/>
      <c r="L3104" s="340"/>
      <c r="P3104" s="340"/>
      <c r="U3104" s="340"/>
      <c r="V3104" s="340"/>
      <c r="Z3104" s="340"/>
      <c r="AE3104" s="340"/>
      <c r="AI3104" s="340"/>
      <c r="AN3104" s="340"/>
      <c r="AO3104" s="340"/>
      <c r="AS3104" s="340"/>
      <c r="AX3104" s="340"/>
      <c r="BB3104" s="340"/>
      <c r="BD3104" s="339"/>
    </row>
    <row r="3105" spans="7:56" s="338" customFormat="1">
      <c r="G3105" s="340"/>
      <c r="L3105" s="340"/>
      <c r="P3105" s="340"/>
      <c r="U3105" s="340"/>
      <c r="V3105" s="340"/>
      <c r="Z3105" s="340"/>
      <c r="AE3105" s="340"/>
      <c r="AI3105" s="340"/>
      <c r="AN3105" s="340"/>
      <c r="AO3105" s="340"/>
      <c r="AS3105" s="340"/>
      <c r="AX3105" s="340"/>
      <c r="BB3105" s="340"/>
      <c r="BD3105" s="339"/>
    </row>
    <row r="3106" spans="7:56" s="338" customFormat="1">
      <c r="G3106" s="340"/>
      <c r="L3106" s="340"/>
      <c r="P3106" s="340"/>
      <c r="U3106" s="340"/>
      <c r="V3106" s="340"/>
      <c r="Z3106" s="340"/>
      <c r="AE3106" s="340"/>
      <c r="AI3106" s="340"/>
      <c r="AN3106" s="340"/>
      <c r="AO3106" s="340"/>
      <c r="AS3106" s="340"/>
      <c r="AX3106" s="340"/>
      <c r="BB3106" s="340"/>
      <c r="BD3106" s="339"/>
    </row>
    <row r="3107" spans="7:56" s="338" customFormat="1">
      <c r="G3107" s="340"/>
      <c r="L3107" s="340"/>
      <c r="P3107" s="340"/>
      <c r="U3107" s="340"/>
      <c r="V3107" s="340"/>
      <c r="Z3107" s="340"/>
      <c r="AE3107" s="340"/>
      <c r="AI3107" s="340"/>
      <c r="AN3107" s="340"/>
      <c r="AO3107" s="340"/>
      <c r="AS3107" s="340"/>
      <c r="AX3107" s="340"/>
      <c r="BB3107" s="340"/>
      <c r="BD3107" s="339"/>
    </row>
    <row r="3108" spans="7:56" s="338" customFormat="1">
      <c r="G3108" s="340"/>
      <c r="L3108" s="340"/>
      <c r="P3108" s="340"/>
      <c r="U3108" s="340"/>
      <c r="V3108" s="340"/>
      <c r="Z3108" s="340"/>
      <c r="AE3108" s="340"/>
      <c r="AI3108" s="340"/>
      <c r="AN3108" s="340"/>
      <c r="AO3108" s="340"/>
      <c r="AS3108" s="340"/>
      <c r="AX3108" s="340"/>
      <c r="BB3108" s="340"/>
      <c r="BD3108" s="339"/>
    </row>
    <row r="3109" spans="7:56" s="338" customFormat="1">
      <c r="G3109" s="340"/>
      <c r="L3109" s="340"/>
      <c r="P3109" s="340"/>
      <c r="U3109" s="340"/>
      <c r="V3109" s="340"/>
      <c r="Z3109" s="340"/>
      <c r="AE3109" s="340"/>
      <c r="AI3109" s="340"/>
      <c r="AN3109" s="340"/>
      <c r="AO3109" s="340"/>
      <c r="AS3109" s="340"/>
      <c r="AX3109" s="340"/>
      <c r="BB3109" s="340"/>
      <c r="BD3109" s="339"/>
    </row>
    <row r="3110" spans="7:56" s="338" customFormat="1">
      <c r="G3110" s="340"/>
      <c r="L3110" s="340"/>
      <c r="P3110" s="340"/>
      <c r="U3110" s="340"/>
      <c r="V3110" s="340"/>
      <c r="Z3110" s="340"/>
      <c r="AE3110" s="340"/>
      <c r="AI3110" s="340"/>
      <c r="AN3110" s="340"/>
      <c r="AO3110" s="340"/>
      <c r="AS3110" s="340"/>
      <c r="AX3110" s="340"/>
      <c r="BB3110" s="340"/>
      <c r="BD3110" s="339"/>
    </row>
    <row r="3111" spans="7:56" s="338" customFormat="1">
      <c r="G3111" s="340"/>
      <c r="L3111" s="340"/>
      <c r="P3111" s="340"/>
      <c r="U3111" s="340"/>
      <c r="V3111" s="340"/>
      <c r="Z3111" s="340"/>
      <c r="AE3111" s="340"/>
      <c r="AI3111" s="340"/>
      <c r="AN3111" s="340"/>
      <c r="AO3111" s="340"/>
      <c r="AS3111" s="340"/>
      <c r="AX3111" s="340"/>
      <c r="BB3111" s="340"/>
      <c r="BD3111" s="339"/>
    </row>
    <row r="3112" spans="7:56" s="338" customFormat="1">
      <c r="G3112" s="340"/>
      <c r="L3112" s="340"/>
      <c r="P3112" s="340"/>
      <c r="U3112" s="340"/>
      <c r="V3112" s="340"/>
      <c r="Z3112" s="340"/>
      <c r="AE3112" s="340"/>
      <c r="AI3112" s="340"/>
      <c r="AN3112" s="340"/>
      <c r="AO3112" s="340"/>
      <c r="AS3112" s="340"/>
      <c r="AX3112" s="340"/>
      <c r="BB3112" s="340"/>
      <c r="BD3112" s="339"/>
    </row>
    <row r="3113" spans="7:56" s="338" customFormat="1">
      <c r="G3113" s="340"/>
      <c r="L3113" s="340"/>
      <c r="P3113" s="340"/>
      <c r="U3113" s="340"/>
      <c r="V3113" s="340"/>
      <c r="Z3113" s="340"/>
      <c r="AE3113" s="340"/>
      <c r="AI3113" s="340"/>
      <c r="AN3113" s="340"/>
      <c r="AO3113" s="340"/>
      <c r="AS3113" s="340"/>
      <c r="AX3113" s="340"/>
      <c r="BB3113" s="340"/>
      <c r="BD3113" s="339"/>
    </row>
    <row r="3114" spans="7:56" s="338" customFormat="1">
      <c r="G3114" s="340"/>
      <c r="L3114" s="340"/>
      <c r="P3114" s="340"/>
      <c r="U3114" s="340"/>
      <c r="V3114" s="340"/>
      <c r="Z3114" s="340"/>
      <c r="AE3114" s="340"/>
      <c r="AI3114" s="340"/>
      <c r="AN3114" s="340"/>
      <c r="AO3114" s="340"/>
      <c r="AS3114" s="340"/>
      <c r="AX3114" s="340"/>
      <c r="BB3114" s="340"/>
      <c r="BD3114" s="339"/>
    </row>
    <row r="3115" spans="7:56" s="338" customFormat="1">
      <c r="G3115" s="340"/>
      <c r="L3115" s="340"/>
      <c r="P3115" s="340"/>
      <c r="U3115" s="340"/>
      <c r="V3115" s="340"/>
      <c r="Z3115" s="340"/>
      <c r="AE3115" s="340"/>
      <c r="AI3115" s="340"/>
      <c r="AN3115" s="340"/>
      <c r="AO3115" s="340"/>
      <c r="AS3115" s="340"/>
      <c r="AX3115" s="340"/>
      <c r="BB3115" s="340"/>
      <c r="BD3115" s="339"/>
    </row>
    <row r="3116" spans="7:56" s="338" customFormat="1">
      <c r="G3116" s="340"/>
      <c r="L3116" s="340"/>
      <c r="P3116" s="340"/>
      <c r="U3116" s="340"/>
      <c r="V3116" s="340"/>
      <c r="Z3116" s="340"/>
      <c r="AE3116" s="340"/>
      <c r="AI3116" s="340"/>
      <c r="AN3116" s="340"/>
      <c r="AO3116" s="340"/>
      <c r="AS3116" s="340"/>
      <c r="AX3116" s="340"/>
      <c r="BB3116" s="340"/>
      <c r="BD3116" s="339"/>
    </row>
    <row r="3117" spans="7:56" s="338" customFormat="1">
      <c r="G3117" s="340"/>
      <c r="L3117" s="340"/>
      <c r="P3117" s="340"/>
      <c r="U3117" s="340"/>
      <c r="V3117" s="340"/>
      <c r="Z3117" s="340"/>
      <c r="AE3117" s="340"/>
      <c r="AI3117" s="340"/>
      <c r="AN3117" s="340"/>
      <c r="AO3117" s="340"/>
      <c r="AS3117" s="340"/>
      <c r="AX3117" s="340"/>
      <c r="BB3117" s="340"/>
      <c r="BD3117" s="339"/>
    </row>
    <row r="3118" spans="7:56" s="338" customFormat="1">
      <c r="G3118" s="340"/>
      <c r="L3118" s="340"/>
      <c r="P3118" s="340"/>
      <c r="U3118" s="340"/>
      <c r="V3118" s="340"/>
      <c r="Z3118" s="340"/>
      <c r="AE3118" s="340"/>
      <c r="AI3118" s="340"/>
      <c r="AN3118" s="340"/>
      <c r="AO3118" s="340"/>
      <c r="AS3118" s="340"/>
      <c r="AX3118" s="340"/>
      <c r="BB3118" s="340"/>
      <c r="BD3118" s="339"/>
    </row>
    <row r="3119" spans="7:56" s="338" customFormat="1">
      <c r="G3119" s="340"/>
      <c r="L3119" s="340"/>
      <c r="P3119" s="340"/>
      <c r="U3119" s="340"/>
      <c r="V3119" s="340"/>
      <c r="Z3119" s="340"/>
      <c r="AE3119" s="340"/>
      <c r="AI3119" s="340"/>
      <c r="AN3119" s="340"/>
      <c r="AO3119" s="340"/>
      <c r="AS3119" s="340"/>
      <c r="AX3119" s="340"/>
      <c r="BB3119" s="340"/>
      <c r="BD3119" s="339"/>
    </row>
    <row r="3120" spans="7:56" s="338" customFormat="1">
      <c r="G3120" s="340"/>
      <c r="L3120" s="340"/>
      <c r="P3120" s="340"/>
      <c r="U3120" s="340"/>
      <c r="V3120" s="340"/>
      <c r="Z3120" s="340"/>
      <c r="AE3120" s="340"/>
      <c r="AI3120" s="340"/>
      <c r="AN3120" s="340"/>
      <c r="AO3120" s="340"/>
      <c r="AS3120" s="340"/>
      <c r="AX3120" s="340"/>
      <c r="BB3120" s="340"/>
      <c r="BD3120" s="339"/>
    </row>
    <row r="3121" spans="7:56" s="338" customFormat="1">
      <c r="G3121" s="340"/>
      <c r="L3121" s="340"/>
      <c r="P3121" s="340"/>
      <c r="U3121" s="340"/>
      <c r="V3121" s="340"/>
      <c r="Z3121" s="340"/>
      <c r="AE3121" s="340"/>
      <c r="AI3121" s="340"/>
      <c r="AN3121" s="340"/>
      <c r="AO3121" s="340"/>
      <c r="AS3121" s="340"/>
      <c r="AX3121" s="340"/>
      <c r="BB3121" s="340"/>
      <c r="BD3121" s="339"/>
    </row>
    <row r="3122" spans="7:56" s="338" customFormat="1">
      <c r="G3122" s="340"/>
      <c r="L3122" s="340"/>
      <c r="P3122" s="340"/>
      <c r="U3122" s="340"/>
      <c r="V3122" s="340"/>
      <c r="Z3122" s="340"/>
      <c r="AE3122" s="340"/>
      <c r="AI3122" s="340"/>
      <c r="AN3122" s="340"/>
      <c r="AO3122" s="340"/>
      <c r="AS3122" s="340"/>
      <c r="AX3122" s="340"/>
      <c r="BB3122" s="340"/>
      <c r="BD3122" s="339"/>
    </row>
    <row r="3123" spans="7:56" s="338" customFormat="1">
      <c r="G3123" s="340"/>
      <c r="L3123" s="340"/>
      <c r="P3123" s="340"/>
      <c r="U3123" s="340"/>
      <c r="V3123" s="340"/>
      <c r="Z3123" s="340"/>
      <c r="AE3123" s="340"/>
      <c r="AI3123" s="340"/>
      <c r="AN3123" s="340"/>
      <c r="AO3123" s="340"/>
      <c r="AS3123" s="340"/>
      <c r="AX3123" s="340"/>
      <c r="BB3123" s="340"/>
      <c r="BD3123" s="339"/>
    </row>
    <row r="3124" spans="7:56" s="338" customFormat="1">
      <c r="G3124" s="340"/>
      <c r="L3124" s="340"/>
      <c r="P3124" s="340"/>
      <c r="U3124" s="340"/>
      <c r="V3124" s="340"/>
      <c r="Z3124" s="340"/>
      <c r="AE3124" s="340"/>
      <c r="AI3124" s="340"/>
      <c r="AN3124" s="340"/>
      <c r="AO3124" s="340"/>
      <c r="AS3124" s="340"/>
      <c r="AX3124" s="340"/>
      <c r="BB3124" s="340"/>
      <c r="BD3124" s="339"/>
    </row>
    <row r="3125" spans="7:56" s="338" customFormat="1">
      <c r="G3125" s="340"/>
      <c r="L3125" s="340"/>
      <c r="P3125" s="340"/>
      <c r="U3125" s="340"/>
      <c r="V3125" s="340"/>
      <c r="Z3125" s="340"/>
      <c r="AE3125" s="340"/>
      <c r="AI3125" s="340"/>
      <c r="AN3125" s="340"/>
      <c r="AO3125" s="340"/>
      <c r="AS3125" s="340"/>
      <c r="AX3125" s="340"/>
      <c r="BB3125" s="340"/>
      <c r="BD3125" s="339"/>
    </row>
    <row r="3126" spans="7:56" s="338" customFormat="1">
      <c r="G3126" s="340"/>
      <c r="L3126" s="340"/>
      <c r="P3126" s="340"/>
      <c r="U3126" s="340"/>
      <c r="V3126" s="340"/>
      <c r="Z3126" s="340"/>
      <c r="AE3126" s="340"/>
      <c r="AI3126" s="340"/>
      <c r="AN3126" s="340"/>
      <c r="AO3126" s="340"/>
      <c r="AS3126" s="340"/>
      <c r="AX3126" s="340"/>
      <c r="BB3126" s="340"/>
      <c r="BD3126" s="339"/>
    </row>
    <row r="3127" spans="7:56" s="338" customFormat="1">
      <c r="G3127" s="340"/>
      <c r="L3127" s="340"/>
      <c r="P3127" s="340"/>
      <c r="U3127" s="340"/>
      <c r="V3127" s="340"/>
      <c r="Z3127" s="340"/>
      <c r="AE3127" s="340"/>
      <c r="AI3127" s="340"/>
      <c r="AN3127" s="340"/>
      <c r="AO3127" s="340"/>
      <c r="AS3127" s="340"/>
      <c r="AX3127" s="340"/>
      <c r="BB3127" s="340"/>
      <c r="BD3127" s="339"/>
    </row>
    <row r="3128" spans="7:56" s="338" customFormat="1">
      <c r="G3128" s="340"/>
      <c r="L3128" s="340"/>
      <c r="P3128" s="340"/>
      <c r="U3128" s="340"/>
      <c r="V3128" s="340"/>
      <c r="Z3128" s="340"/>
      <c r="AE3128" s="340"/>
      <c r="AI3128" s="340"/>
      <c r="AN3128" s="340"/>
      <c r="AO3128" s="340"/>
      <c r="AS3128" s="340"/>
      <c r="AX3128" s="340"/>
      <c r="BB3128" s="340"/>
      <c r="BD3128" s="339"/>
    </row>
    <row r="3129" spans="7:56" s="338" customFormat="1">
      <c r="G3129" s="340"/>
      <c r="L3129" s="340"/>
      <c r="P3129" s="340"/>
      <c r="U3129" s="340"/>
      <c r="V3129" s="340"/>
      <c r="Z3129" s="340"/>
      <c r="AE3129" s="340"/>
      <c r="AI3129" s="340"/>
      <c r="AN3129" s="340"/>
      <c r="AO3129" s="340"/>
      <c r="AS3129" s="340"/>
      <c r="AX3129" s="340"/>
      <c r="BB3129" s="340"/>
      <c r="BD3129" s="339"/>
    </row>
    <row r="3130" spans="7:56" s="338" customFormat="1">
      <c r="G3130" s="340"/>
      <c r="L3130" s="340"/>
      <c r="P3130" s="340"/>
      <c r="U3130" s="340"/>
      <c r="V3130" s="340"/>
      <c r="Z3130" s="340"/>
      <c r="AE3130" s="340"/>
      <c r="AI3130" s="340"/>
      <c r="AN3130" s="340"/>
      <c r="AO3130" s="340"/>
      <c r="AS3130" s="340"/>
      <c r="AX3130" s="340"/>
      <c r="BB3130" s="340"/>
      <c r="BD3130" s="339"/>
    </row>
    <row r="3131" spans="7:56" s="338" customFormat="1">
      <c r="G3131" s="340"/>
      <c r="L3131" s="340"/>
      <c r="P3131" s="340"/>
      <c r="U3131" s="340"/>
      <c r="V3131" s="340"/>
      <c r="Z3131" s="340"/>
      <c r="AE3131" s="340"/>
      <c r="AI3131" s="340"/>
      <c r="AN3131" s="340"/>
      <c r="AO3131" s="340"/>
      <c r="AS3131" s="340"/>
      <c r="AX3131" s="340"/>
      <c r="BB3131" s="340"/>
      <c r="BD3131" s="339"/>
    </row>
    <row r="3132" spans="7:56" s="338" customFormat="1">
      <c r="G3132" s="340"/>
      <c r="L3132" s="340"/>
      <c r="P3132" s="340"/>
      <c r="U3132" s="340"/>
      <c r="V3132" s="340"/>
      <c r="Z3132" s="340"/>
      <c r="AE3132" s="340"/>
      <c r="AI3132" s="340"/>
      <c r="AN3132" s="340"/>
      <c r="AO3132" s="340"/>
      <c r="AS3132" s="340"/>
      <c r="AX3132" s="340"/>
      <c r="BB3132" s="340"/>
      <c r="BD3132" s="339"/>
    </row>
    <row r="3133" spans="7:56" s="338" customFormat="1">
      <c r="G3133" s="340"/>
      <c r="L3133" s="340"/>
      <c r="P3133" s="340"/>
      <c r="U3133" s="340"/>
      <c r="V3133" s="340"/>
      <c r="Z3133" s="340"/>
      <c r="AE3133" s="340"/>
      <c r="AI3133" s="340"/>
      <c r="AN3133" s="340"/>
      <c r="AO3133" s="340"/>
      <c r="AS3133" s="340"/>
      <c r="AX3133" s="340"/>
      <c r="BB3133" s="340"/>
      <c r="BD3133" s="339"/>
    </row>
    <row r="3134" spans="7:56" s="338" customFormat="1">
      <c r="G3134" s="340"/>
      <c r="L3134" s="340"/>
      <c r="P3134" s="340"/>
      <c r="U3134" s="340"/>
      <c r="V3134" s="340"/>
      <c r="Z3134" s="340"/>
      <c r="AE3134" s="340"/>
      <c r="AI3134" s="340"/>
      <c r="AN3134" s="340"/>
      <c r="AO3134" s="340"/>
      <c r="AS3134" s="340"/>
      <c r="AX3134" s="340"/>
      <c r="BB3134" s="340"/>
      <c r="BD3134" s="339"/>
    </row>
    <row r="3135" spans="7:56" s="338" customFormat="1">
      <c r="G3135" s="340"/>
      <c r="L3135" s="340"/>
      <c r="P3135" s="340"/>
      <c r="U3135" s="340"/>
      <c r="V3135" s="340"/>
      <c r="Z3135" s="340"/>
      <c r="AE3135" s="340"/>
      <c r="AI3135" s="340"/>
      <c r="AN3135" s="340"/>
      <c r="AO3135" s="340"/>
      <c r="AS3135" s="340"/>
      <c r="AX3135" s="340"/>
      <c r="BB3135" s="340"/>
      <c r="BD3135" s="339"/>
    </row>
    <row r="3136" spans="7:56" s="338" customFormat="1">
      <c r="G3136" s="340"/>
      <c r="L3136" s="340"/>
      <c r="P3136" s="340"/>
      <c r="U3136" s="340"/>
      <c r="V3136" s="340"/>
      <c r="Z3136" s="340"/>
      <c r="AE3136" s="340"/>
      <c r="AI3136" s="340"/>
      <c r="AN3136" s="340"/>
      <c r="AO3136" s="340"/>
      <c r="AS3136" s="340"/>
      <c r="AX3136" s="340"/>
      <c r="BB3136" s="340"/>
      <c r="BD3136" s="339"/>
    </row>
    <row r="3137" spans="7:56" s="338" customFormat="1">
      <c r="G3137" s="340"/>
      <c r="L3137" s="340"/>
      <c r="P3137" s="340"/>
      <c r="U3137" s="340"/>
      <c r="V3137" s="340"/>
      <c r="Z3137" s="340"/>
      <c r="AE3137" s="340"/>
      <c r="AI3137" s="340"/>
      <c r="AN3137" s="340"/>
      <c r="AO3137" s="340"/>
      <c r="AS3137" s="340"/>
      <c r="AX3137" s="340"/>
      <c r="BB3137" s="340"/>
      <c r="BD3137" s="339"/>
    </row>
    <row r="3138" spans="7:56" s="338" customFormat="1">
      <c r="G3138" s="340"/>
      <c r="L3138" s="340"/>
      <c r="P3138" s="340"/>
      <c r="U3138" s="340"/>
      <c r="V3138" s="340"/>
      <c r="Z3138" s="340"/>
      <c r="AE3138" s="340"/>
      <c r="AI3138" s="340"/>
      <c r="AN3138" s="340"/>
      <c r="AO3138" s="340"/>
      <c r="AS3138" s="340"/>
      <c r="AX3138" s="340"/>
      <c r="BB3138" s="340"/>
      <c r="BD3138" s="339"/>
    </row>
    <row r="3139" spans="7:56" s="338" customFormat="1">
      <c r="G3139" s="340"/>
      <c r="L3139" s="340"/>
      <c r="P3139" s="340"/>
      <c r="U3139" s="340"/>
      <c r="V3139" s="340"/>
      <c r="Z3139" s="340"/>
      <c r="AE3139" s="340"/>
      <c r="AI3139" s="340"/>
      <c r="AN3139" s="340"/>
      <c r="AO3139" s="340"/>
      <c r="AS3139" s="340"/>
      <c r="AX3139" s="340"/>
      <c r="BB3139" s="340"/>
      <c r="BD3139" s="339"/>
    </row>
    <row r="3140" spans="7:56" s="338" customFormat="1">
      <c r="G3140" s="340"/>
      <c r="L3140" s="340"/>
      <c r="P3140" s="340"/>
      <c r="U3140" s="340"/>
      <c r="V3140" s="340"/>
      <c r="Z3140" s="340"/>
      <c r="AE3140" s="340"/>
      <c r="AI3140" s="340"/>
      <c r="AN3140" s="340"/>
      <c r="AO3140" s="340"/>
      <c r="AS3140" s="340"/>
      <c r="AX3140" s="340"/>
      <c r="BB3140" s="340"/>
      <c r="BD3140" s="339"/>
    </row>
    <row r="3141" spans="7:56" s="338" customFormat="1">
      <c r="G3141" s="340"/>
      <c r="L3141" s="340"/>
      <c r="P3141" s="340"/>
      <c r="U3141" s="340"/>
      <c r="V3141" s="340"/>
      <c r="Z3141" s="340"/>
      <c r="AE3141" s="340"/>
      <c r="AI3141" s="340"/>
      <c r="AN3141" s="340"/>
      <c r="AO3141" s="340"/>
      <c r="AS3141" s="340"/>
      <c r="AX3141" s="340"/>
      <c r="BB3141" s="340"/>
      <c r="BD3141" s="339"/>
    </row>
    <row r="3142" spans="7:56" s="338" customFormat="1">
      <c r="G3142" s="340"/>
      <c r="L3142" s="340"/>
      <c r="P3142" s="340"/>
      <c r="U3142" s="340"/>
      <c r="V3142" s="340"/>
      <c r="Z3142" s="340"/>
      <c r="AE3142" s="340"/>
      <c r="AI3142" s="340"/>
      <c r="AN3142" s="340"/>
      <c r="AO3142" s="340"/>
      <c r="AS3142" s="340"/>
      <c r="AX3142" s="340"/>
      <c r="BB3142" s="340"/>
      <c r="BD3142" s="339"/>
    </row>
    <row r="3143" spans="7:56" s="338" customFormat="1">
      <c r="G3143" s="340"/>
      <c r="L3143" s="340"/>
      <c r="P3143" s="340"/>
      <c r="U3143" s="340"/>
      <c r="V3143" s="340"/>
      <c r="Z3143" s="340"/>
      <c r="AE3143" s="340"/>
      <c r="AI3143" s="340"/>
      <c r="AN3143" s="340"/>
      <c r="AO3143" s="340"/>
      <c r="AS3143" s="340"/>
      <c r="AX3143" s="340"/>
      <c r="BB3143" s="340"/>
      <c r="BD3143" s="339"/>
    </row>
    <row r="3144" spans="7:56" s="338" customFormat="1">
      <c r="G3144" s="340"/>
      <c r="L3144" s="340"/>
      <c r="P3144" s="340"/>
      <c r="U3144" s="340"/>
      <c r="V3144" s="340"/>
      <c r="Z3144" s="340"/>
      <c r="AE3144" s="340"/>
      <c r="AI3144" s="340"/>
      <c r="AN3144" s="340"/>
      <c r="AO3144" s="340"/>
      <c r="AS3144" s="340"/>
      <c r="AX3144" s="340"/>
      <c r="BB3144" s="340"/>
      <c r="BD3144" s="339"/>
    </row>
    <row r="3145" spans="7:56" s="338" customFormat="1">
      <c r="G3145" s="340"/>
      <c r="L3145" s="340"/>
      <c r="P3145" s="340"/>
      <c r="U3145" s="340"/>
      <c r="V3145" s="340"/>
      <c r="Z3145" s="340"/>
      <c r="AE3145" s="340"/>
      <c r="AI3145" s="340"/>
      <c r="AN3145" s="340"/>
      <c r="AO3145" s="340"/>
      <c r="AS3145" s="340"/>
      <c r="AX3145" s="340"/>
      <c r="BB3145" s="340"/>
      <c r="BD3145" s="339"/>
    </row>
    <row r="3146" spans="7:56" s="338" customFormat="1">
      <c r="G3146" s="340"/>
      <c r="L3146" s="340"/>
      <c r="P3146" s="340"/>
      <c r="U3146" s="340"/>
      <c r="V3146" s="340"/>
      <c r="Z3146" s="340"/>
      <c r="AE3146" s="340"/>
      <c r="AI3146" s="340"/>
      <c r="AN3146" s="340"/>
      <c r="AO3146" s="340"/>
      <c r="AS3146" s="340"/>
      <c r="AX3146" s="340"/>
      <c r="BB3146" s="340"/>
      <c r="BD3146" s="339"/>
    </row>
    <row r="3147" spans="7:56" s="338" customFormat="1">
      <c r="G3147" s="340"/>
      <c r="L3147" s="340"/>
      <c r="P3147" s="340"/>
      <c r="U3147" s="340"/>
      <c r="V3147" s="340"/>
      <c r="Z3147" s="340"/>
      <c r="AE3147" s="340"/>
      <c r="AI3147" s="340"/>
      <c r="AN3147" s="340"/>
      <c r="AO3147" s="340"/>
      <c r="AS3147" s="340"/>
      <c r="AX3147" s="340"/>
      <c r="BB3147" s="340"/>
      <c r="BD3147" s="339"/>
    </row>
    <row r="3148" spans="7:56" s="338" customFormat="1">
      <c r="G3148" s="340"/>
      <c r="L3148" s="340"/>
      <c r="P3148" s="340"/>
      <c r="U3148" s="340"/>
      <c r="V3148" s="340"/>
      <c r="Z3148" s="340"/>
      <c r="AE3148" s="340"/>
      <c r="AI3148" s="340"/>
      <c r="AN3148" s="340"/>
      <c r="AO3148" s="340"/>
      <c r="AS3148" s="340"/>
      <c r="AX3148" s="340"/>
      <c r="BB3148" s="340"/>
      <c r="BD3148" s="339"/>
    </row>
    <row r="3149" spans="7:56" s="338" customFormat="1">
      <c r="G3149" s="340"/>
      <c r="L3149" s="340"/>
      <c r="P3149" s="340"/>
      <c r="U3149" s="340"/>
      <c r="V3149" s="340"/>
      <c r="Z3149" s="340"/>
      <c r="AE3149" s="340"/>
      <c r="AI3149" s="340"/>
      <c r="AN3149" s="340"/>
      <c r="AO3149" s="340"/>
      <c r="AS3149" s="340"/>
      <c r="AX3149" s="340"/>
      <c r="BB3149" s="340"/>
      <c r="BD3149" s="339"/>
    </row>
    <row r="3150" spans="7:56" s="338" customFormat="1">
      <c r="G3150" s="340"/>
      <c r="L3150" s="340"/>
      <c r="P3150" s="340"/>
      <c r="U3150" s="340"/>
      <c r="V3150" s="340"/>
      <c r="Z3150" s="340"/>
      <c r="AE3150" s="340"/>
      <c r="AI3150" s="340"/>
      <c r="AN3150" s="340"/>
      <c r="AO3150" s="340"/>
      <c r="AS3150" s="340"/>
      <c r="AX3150" s="340"/>
      <c r="BB3150" s="340"/>
      <c r="BD3150" s="339"/>
    </row>
    <row r="3151" spans="7:56" s="338" customFormat="1">
      <c r="G3151" s="340"/>
      <c r="L3151" s="340"/>
      <c r="P3151" s="340"/>
      <c r="U3151" s="340"/>
      <c r="V3151" s="340"/>
      <c r="Z3151" s="340"/>
      <c r="AE3151" s="340"/>
      <c r="AI3151" s="340"/>
      <c r="AN3151" s="340"/>
      <c r="AO3151" s="340"/>
      <c r="AS3151" s="340"/>
      <c r="AX3151" s="340"/>
      <c r="BB3151" s="340"/>
      <c r="BD3151" s="339"/>
    </row>
    <row r="3152" spans="7:56" s="338" customFormat="1">
      <c r="G3152" s="340"/>
      <c r="L3152" s="340"/>
      <c r="P3152" s="340"/>
      <c r="U3152" s="340"/>
      <c r="V3152" s="340"/>
      <c r="Z3152" s="340"/>
      <c r="AE3152" s="340"/>
      <c r="AI3152" s="340"/>
      <c r="AN3152" s="340"/>
      <c r="AO3152" s="340"/>
      <c r="AS3152" s="340"/>
      <c r="AX3152" s="340"/>
      <c r="BB3152" s="340"/>
      <c r="BD3152" s="339"/>
    </row>
    <row r="3153" spans="7:56" s="338" customFormat="1">
      <c r="G3153" s="340"/>
      <c r="L3153" s="340"/>
      <c r="P3153" s="340"/>
      <c r="U3153" s="340"/>
      <c r="V3153" s="340"/>
      <c r="Z3153" s="340"/>
      <c r="AE3153" s="340"/>
      <c r="AI3153" s="340"/>
      <c r="AN3153" s="340"/>
      <c r="AO3153" s="340"/>
      <c r="AS3153" s="340"/>
      <c r="AX3153" s="340"/>
      <c r="BB3153" s="340"/>
      <c r="BD3153" s="339"/>
    </row>
    <row r="3154" spans="7:56" s="338" customFormat="1">
      <c r="G3154" s="340"/>
      <c r="L3154" s="340"/>
      <c r="P3154" s="340"/>
      <c r="U3154" s="340"/>
      <c r="V3154" s="340"/>
      <c r="Z3154" s="340"/>
      <c r="AE3154" s="340"/>
      <c r="AI3154" s="340"/>
      <c r="AN3154" s="340"/>
      <c r="AO3154" s="340"/>
      <c r="AS3154" s="340"/>
      <c r="AX3154" s="340"/>
      <c r="BB3154" s="340"/>
      <c r="BD3154" s="339"/>
    </row>
    <row r="3155" spans="7:56" s="338" customFormat="1">
      <c r="G3155" s="340"/>
      <c r="L3155" s="340"/>
      <c r="P3155" s="340"/>
      <c r="U3155" s="340"/>
      <c r="V3155" s="340"/>
      <c r="Z3155" s="340"/>
      <c r="AE3155" s="340"/>
      <c r="AI3155" s="340"/>
      <c r="AN3155" s="340"/>
      <c r="AO3155" s="340"/>
      <c r="AS3155" s="340"/>
      <c r="AX3155" s="340"/>
      <c r="BB3155" s="340"/>
      <c r="BD3155" s="339"/>
    </row>
    <row r="3156" spans="7:56" s="338" customFormat="1">
      <c r="G3156" s="340"/>
      <c r="L3156" s="340"/>
      <c r="P3156" s="340"/>
      <c r="U3156" s="340"/>
      <c r="V3156" s="340"/>
      <c r="Z3156" s="340"/>
      <c r="AE3156" s="340"/>
      <c r="AI3156" s="340"/>
      <c r="AN3156" s="340"/>
      <c r="AO3156" s="340"/>
      <c r="AS3156" s="340"/>
      <c r="AX3156" s="340"/>
      <c r="BB3156" s="340"/>
      <c r="BD3156" s="339"/>
    </row>
    <row r="3157" spans="7:56" s="338" customFormat="1">
      <c r="G3157" s="340"/>
      <c r="L3157" s="340"/>
      <c r="P3157" s="340"/>
      <c r="U3157" s="340"/>
      <c r="V3157" s="340"/>
      <c r="Z3157" s="340"/>
      <c r="AE3157" s="340"/>
      <c r="AI3157" s="340"/>
      <c r="AN3157" s="340"/>
      <c r="AO3157" s="340"/>
      <c r="AS3157" s="340"/>
      <c r="AX3157" s="340"/>
      <c r="BB3157" s="340"/>
      <c r="BD3157" s="339"/>
    </row>
    <row r="3158" spans="7:56" s="338" customFormat="1">
      <c r="G3158" s="340"/>
      <c r="L3158" s="340"/>
      <c r="P3158" s="340"/>
      <c r="U3158" s="340"/>
      <c r="V3158" s="340"/>
      <c r="Z3158" s="340"/>
      <c r="AE3158" s="340"/>
      <c r="AI3158" s="340"/>
      <c r="AN3158" s="340"/>
      <c r="AO3158" s="340"/>
      <c r="AS3158" s="340"/>
      <c r="AX3158" s="340"/>
      <c r="BB3158" s="340"/>
      <c r="BD3158" s="339"/>
    </row>
    <row r="3159" spans="7:56" s="338" customFormat="1">
      <c r="G3159" s="340"/>
      <c r="L3159" s="340"/>
      <c r="P3159" s="340"/>
      <c r="U3159" s="340"/>
      <c r="V3159" s="340"/>
      <c r="Z3159" s="340"/>
      <c r="AE3159" s="340"/>
      <c r="AI3159" s="340"/>
      <c r="AN3159" s="340"/>
      <c r="AO3159" s="340"/>
      <c r="AS3159" s="340"/>
      <c r="AX3159" s="340"/>
      <c r="BB3159" s="340"/>
      <c r="BD3159" s="339"/>
    </row>
    <row r="3160" spans="7:56" s="338" customFormat="1">
      <c r="G3160" s="340"/>
      <c r="L3160" s="340"/>
      <c r="P3160" s="340"/>
      <c r="U3160" s="340"/>
      <c r="V3160" s="340"/>
      <c r="Z3160" s="340"/>
      <c r="AE3160" s="340"/>
      <c r="AI3160" s="340"/>
      <c r="AN3160" s="340"/>
      <c r="AO3160" s="340"/>
      <c r="AS3160" s="340"/>
      <c r="AX3160" s="340"/>
      <c r="BB3160" s="340"/>
      <c r="BD3160" s="339"/>
    </row>
    <row r="3161" spans="7:56" s="338" customFormat="1">
      <c r="G3161" s="340"/>
      <c r="L3161" s="340"/>
      <c r="P3161" s="340"/>
      <c r="U3161" s="340"/>
      <c r="V3161" s="340"/>
      <c r="Z3161" s="340"/>
      <c r="AE3161" s="340"/>
      <c r="AI3161" s="340"/>
      <c r="AN3161" s="340"/>
      <c r="AO3161" s="340"/>
      <c r="AS3161" s="340"/>
      <c r="AX3161" s="340"/>
      <c r="BB3161" s="340"/>
      <c r="BD3161" s="339"/>
    </row>
    <row r="3162" spans="7:56" s="338" customFormat="1">
      <c r="G3162" s="340"/>
      <c r="L3162" s="340"/>
      <c r="P3162" s="340"/>
      <c r="U3162" s="340"/>
      <c r="V3162" s="340"/>
      <c r="Z3162" s="340"/>
      <c r="AE3162" s="340"/>
      <c r="AI3162" s="340"/>
      <c r="AN3162" s="340"/>
      <c r="AO3162" s="340"/>
      <c r="AS3162" s="340"/>
      <c r="AX3162" s="340"/>
      <c r="BB3162" s="340"/>
      <c r="BD3162" s="339"/>
    </row>
    <row r="3163" spans="7:56" s="338" customFormat="1">
      <c r="G3163" s="340"/>
      <c r="L3163" s="340"/>
      <c r="P3163" s="340"/>
      <c r="U3163" s="340"/>
      <c r="V3163" s="340"/>
      <c r="Z3163" s="340"/>
      <c r="AE3163" s="340"/>
      <c r="AI3163" s="340"/>
      <c r="AN3163" s="340"/>
      <c r="AO3163" s="340"/>
      <c r="AS3163" s="340"/>
      <c r="AX3163" s="340"/>
      <c r="BB3163" s="340"/>
      <c r="BD3163" s="339"/>
    </row>
    <row r="3164" spans="7:56" s="338" customFormat="1">
      <c r="G3164" s="340"/>
      <c r="L3164" s="340"/>
      <c r="P3164" s="340"/>
      <c r="U3164" s="340"/>
      <c r="V3164" s="340"/>
      <c r="Z3164" s="340"/>
      <c r="AE3164" s="340"/>
      <c r="AI3164" s="340"/>
      <c r="AN3164" s="340"/>
      <c r="AO3164" s="340"/>
      <c r="AS3164" s="340"/>
      <c r="AX3164" s="340"/>
      <c r="BB3164" s="340"/>
      <c r="BD3164" s="339"/>
    </row>
    <row r="3165" spans="7:56" s="338" customFormat="1">
      <c r="G3165" s="340"/>
      <c r="L3165" s="340"/>
      <c r="P3165" s="340"/>
      <c r="U3165" s="340"/>
      <c r="V3165" s="340"/>
      <c r="Z3165" s="340"/>
      <c r="AE3165" s="340"/>
      <c r="AI3165" s="340"/>
      <c r="AN3165" s="340"/>
      <c r="AO3165" s="340"/>
      <c r="AS3165" s="340"/>
      <c r="AX3165" s="340"/>
      <c r="BB3165" s="340"/>
      <c r="BD3165" s="339"/>
    </row>
    <row r="3166" spans="7:56" s="338" customFormat="1">
      <c r="G3166" s="340"/>
      <c r="L3166" s="340"/>
      <c r="P3166" s="340"/>
      <c r="U3166" s="340"/>
      <c r="V3166" s="340"/>
      <c r="Z3166" s="340"/>
      <c r="AE3166" s="340"/>
      <c r="AI3166" s="340"/>
      <c r="AN3166" s="340"/>
      <c r="AO3166" s="340"/>
      <c r="AS3166" s="340"/>
      <c r="AX3166" s="340"/>
      <c r="BB3166" s="340"/>
      <c r="BD3166" s="339"/>
    </row>
    <row r="3167" spans="7:56" s="338" customFormat="1">
      <c r="G3167" s="340"/>
      <c r="L3167" s="340"/>
      <c r="P3167" s="340"/>
      <c r="U3167" s="340"/>
      <c r="V3167" s="340"/>
      <c r="Z3167" s="340"/>
      <c r="AE3167" s="340"/>
      <c r="AI3167" s="340"/>
      <c r="AN3167" s="340"/>
      <c r="AO3167" s="340"/>
      <c r="AS3167" s="340"/>
      <c r="AX3167" s="340"/>
      <c r="BB3167" s="340"/>
      <c r="BD3167" s="339"/>
    </row>
    <row r="3168" spans="7:56" s="338" customFormat="1">
      <c r="G3168" s="340"/>
      <c r="L3168" s="340"/>
      <c r="P3168" s="340"/>
      <c r="U3168" s="340"/>
      <c r="V3168" s="340"/>
      <c r="Z3168" s="340"/>
      <c r="AE3168" s="340"/>
      <c r="AI3168" s="340"/>
      <c r="AN3168" s="340"/>
      <c r="AO3168" s="340"/>
      <c r="AS3168" s="340"/>
      <c r="AX3168" s="340"/>
      <c r="BB3168" s="340"/>
      <c r="BD3168" s="339"/>
    </row>
    <row r="3169" spans="7:56" s="338" customFormat="1">
      <c r="G3169" s="340"/>
      <c r="L3169" s="340"/>
      <c r="P3169" s="340"/>
      <c r="U3169" s="340"/>
      <c r="V3169" s="340"/>
      <c r="Z3169" s="340"/>
      <c r="AE3169" s="340"/>
      <c r="AI3169" s="340"/>
      <c r="AN3169" s="340"/>
      <c r="AO3169" s="340"/>
      <c r="AS3169" s="340"/>
      <c r="AX3169" s="340"/>
      <c r="BB3169" s="340"/>
      <c r="BD3169" s="339"/>
    </row>
    <row r="3170" spans="7:56" s="338" customFormat="1">
      <c r="G3170" s="340"/>
      <c r="L3170" s="340"/>
      <c r="P3170" s="340"/>
      <c r="U3170" s="340"/>
      <c r="V3170" s="340"/>
      <c r="Z3170" s="340"/>
      <c r="AE3170" s="340"/>
      <c r="AI3170" s="340"/>
      <c r="AN3170" s="340"/>
      <c r="AO3170" s="340"/>
      <c r="AS3170" s="340"/>
      <c r="AX3170" s="340"/>
      <c r="BB3170" s="340"/>
      <c r="BD3170" s="339"/>
    </row>
    <row r="3171" spans="7:56" s="338" customFormat="1">
      <c r="G3171" s="340"/>
      <c r="L3171" s="340"/>
      <c r="P3171" s="340"/>
      <c r="U3171" s="340"/>
      <c r="V3171" s="340"/>
      <c r="Z3171" s="340"/>
      <c r="AE3171" s="340"/>
      <c r="AI3171" s="340"/>
      <c r="AN3171" s="340"/>
      <c r="AO3171" s="340"/>
      <c r="AS3171" s="340"/>
      <c r="AX3171" s="340"/>
      <c r="BB3171" s="340"/>
      <c r="BD3171" s="339"/>
    </row>
    <row r="3172" spans="7:56" s="338" customFormat="1">
      <c r="G3172" s="340"/>
      <c r="L3172" s="340"/>
      <c r="P3172" s="340"/>
      <c r="U3172" s="340"/>
      <c r="V3172" s="340"/>
      <c r="Z3172" s="340"/>
      <c r="AE3172" s="340"/>
      <c r="AI3172" s="340"/>
      <c r="AN3172" s="340"/>
      <c r="AO3172" s="340"/>
      <c r="AS3172" s="340"/>
      <c r="AX3172" s="340"/>
      <c r="BB3172" s="340"/>
      <c r="BD3172" s="339"/>
    </row>
    <row r="3173" spans="7:56" s="338" customFormat="1">
      <c r="G3173" s="340"/>
      <c r="L3173" s="340"/>
      <c r="P3173" s="340"/>
      <c r="U3173" s="340"/>
      <c r="V3173" s="340"/>
      <c r="Z3173" s="340"/>
      <c r="AE3173" s="340"/>
      <c r="AI3173" s="340"/>
      <c r="AN3173" s="340"/>
      <c r="AO3173" s="340"/>
      <c r="AS3173" s="340"/>
      <c r="AX3173" s="340"/>
      <c r="BB3173" s="340"/>
      <c r="BD3173" s="339"/>
    </row>
    <row r="3174" spans="7:56" s="338" customFormat="1">
      <c r="G3174" s="340"/>
      <c r="L3174" s="340"/>
      <c r="P3174" s="340"/>
      <c r="U3174" s="340"/>
      <c r="V3174" s="340"/>
      <c r="Z3174" s="340"/>
      <c r="AE3174" s="340"/>
      <c r="AI3174" s="340"/>
      <c r="AN3174" s="340"/>
      <c r="AO3174" s="340"/>
      <c r="AS3174" s="340"/>
      <c r="AX3174" s="340"/>
      <c r="BB3174" s="340"/>
      <c r="BD3174" s="339"/>
    </row>
    <row r="3175" spans="7:56" s="338" customFormat="1">
      <c r="G3175" s="340"/>
      <c r="L3175" s="340"/>
      <c r="P3175" s="340"/>
      <c r="U3175" s="340"/>
      <c r="V3175" s="340"/>
      <c r="Z3175" s="340"/>
      <c r="AE3175" s="340"/>
      <c r="AI3175" s="340"/>
      <c r="AN3175" s="340"/>
      <c r="AO3175" s="340"/>
      <c r="AS3175" s="340"/>
      <c r="AX3175" s="340"/>
      <c r="BB3175" s="340"/>
      <c r="BD3175" s="339"/>
    </row>
    <row r="3176" spans="7:56" s="338" customFormat="1">
      <c r="G3176" s="340"/>
      <c r="L3176" s="340"/>
      <c r="P3176" s="340"/>
      <c r="U3176" s="340"/>
      <c r="V3176" s="340"/>
      <c r="Z3176" s="340"/>
      <c r="AE3176" s="340"/>
      <c r="AI3176" s="340"/>
      <c r="AN3176" s="340"/>
      <c r="AO3176" s="340"/>
      <c r="AS3176" s="340"/>
      <c r="AX3176" s="340"/>
      <c r="BB3176" s="340"/>
      <c r="BD3176" s="339"/>
    </row>
    <row r="3177" spans="7:56" s="338" customFormat="1">
      <c r="G3177" s="340"/>
      <c r="L3177" s="340"/>
      <c r="P3177" s="340"/>
      <c r="U3177" s="340"/>
      <c r="V3177" s="340"/>
      <c r="Z3177" s="340"/>
      <c r="AE3177" s="340"/>
      <c r="AI3177" s="340"/>
      <c r="AN3177" s="340"/>
      <c r="AO3177" s="340"/>
      <c r="AS3177" s="340"/>
      <c r="AX3177" s="340"/>
      <c r="BB3177" s="340"/>
      <c r="BD3177" s="339"/>
    </row>
    <row r="3178" spans="7:56" s="338" customFormat="1">
      <c r="G3178" s="340"/>
      <c r="L3178" s="340"/>
      <c r="P3178" s="340"/>
      <c r="U3178" s="340"/>
      <c r="V3178" s="340"/>
      <c r="Z3178" s="340"/>
      <c r="AE3178" s="340"/>
      <c r="AI3178" s="340"/>
      <c r="AN3178" s="340"/>
      <c r="AO3178" s="340"/>
      <c r="AS3178" s="340"/>
      <c r="AX3178" s="340"/>
      <c r="BB3178" s="340"/>
      <c r="BD3178" s="339"/>
    </row>
    <row r="3179" spans="7:56" s="338" customFormat="1">
      <c r="G3179" s="340"/>
      <c r="L3179" s="340"/>
      <c r="P3179" s="340"/>
      <c r="U3179" s="340"/>
      <c r="V3179" s="340"/>
      <c r="Z3179" s="340"/>
      <c r="AE3179" s="340"/>
      <c r="AI3179" s="340"/>
      <c r="AN3179" s="340"/>
      <c r="AO3179" s="340"/>
      <c r="AS3179" s="340"/>
      <c r="AX3179" s="340"/>
      <c r="BB3179" s="340"/>
      <c r="BD3179" s="339"/>
    </row>
    <row r="3180" spans="7:56" s="338" customFormat="1">
      <c r="G3180" s="340"/>
      <c r="L3180" s="340"/>
      <c r="P3180" s="340"/>
      <c r="U3180" s="340"/>
      <c r="V3180" s="340"/>
      <c r="Z3180" s="340"/>
      <c r="AE3180" s="340"/>
      <c r="AI3180" s="340"/>
      <c r="AN3180" s="340"/>
      <c r="AO3180" s="340"/>
      <c r="AS3180" s="340"/>
      <c r="AX3180" s="340"/>
      <c r="BB3180" s="340"/>
      <c r="BD3180" s="339"/>
    </row>
    <row r="3181" spans="7:56" s="338" customFormat="1">
      <c r="G3181" s="340"/>
      <c r="L3181" s="340"/>
      <c r="P3181" s="340"/>
      <c r="U3181" s="340"/>
      <c r="V3181" s="340"/>
      <c r="Z3181" s="340"/>
      <c r="AE3181" s="340"/>
      <c r="AI3181" s="340"/>
      <c r="AN3181" s="340"/>
      <c r="AO3181" s="340"/>
      <c r="AS3181" s="340"/>
      <c r="AX3181" s="340"/>
      <c r="BB3181" s="340"/>
      <c r="BD3181" s="339"/>
    </row>
    <row r="3182" spans="7:56" s="338" customFormat="1">
      <c r="G3182" s="340"/>
      <c r="L3182" s="340"/>
      <c r="P3182" s="340"/>
      <c r="U3182" s="340"/>
      <c r="V3182" s="340"/>
      <c r="Z3182" s="340"/>
      <c r="AE3182" s="340"/>
      <c r="AI3182" s="340"/>
      <c r="AN3182" s="340"/>
      <c r="AO3182" s="340"/>
      <c r="AS3182" s="340"/>
      <c r="AX3182" s="340"/>
      <c r="BB3182" s="340"/>
      <c r="BD3182" s="339"/>
    </row>
    <row r="3183" spans="7:56" s="338" customFormat="1">
      <c r="G3183" s="340"/>
      <c r="L3183" s="340"/>
      <c r="P3183" s="340"/>
      <c r="U3183" s="340"/>
      <c r="V3183" s="340"/>
      <c r="Z3183" s="340"/>
      <c r="AE3183" s="340"/>
      <c r="AI3183" s="340"/>
      <c r="AN3183" s="340"/>
      <c r="AO3183" s="340"/>
      <c r="AS3183" s="340"/>
      <c r="AX3183" s="340"/>
      <c r="BB3183" s="340"/>
      <c r="BD3183" s="339"/>
    </row>
    <row r="3184" spans="7:56" s="338" customFormat="1">
      <c r="G3184" s="340"/>
      <c r="L3184" s="340"/>
      <c r="P3184" s="340"/>
      <c r="U3184" s="340"/>
      <c r="V3184" s="340"/>
      <c r="Z3184" s="340"/>
      <c r="AE3184" s="340"/>
      <c r="AI3184" s="340"/>
      <c r="AN3184" s="340"/>
      <c r="AO3184" s="340"/>
      <c r="AS3184" s="340"/>
      <c r="AX3184" s="340"/>
      <c r="BB3184" s="340"/>
      <c r="BD3184" s="339"/>
    </row>
    <row r="3185" spans="7:56" s="338" customFormat="1">
      <c r="G3185" s="340"/>
      <c r="L3185" s="340"/>
      <c r="P3185" s="340"/>
      <c r="U3185" s="340"/>
      <c r="V3185" s="340"/>
      <c r="Z3185" s="340"/>
      <c r="AE3185" s="340"/>
      <c r="AI3185" s="340"/>
      <c r="AN3185" s="340"/>
      <c r="AO3185" s="340"/>
      <c r="AS3185" s="340"/>
      <c r="AX3185" s="340"/>
      <c r="BB3185" s="340"/>
      <c r="BD3185" s="339"/>
    </row>
    <row r="3186" spans="7:56" s="338" customFormat="1">
      <c r="G3186" s="340"/>
      <c r="L3186" s="340"/>
      <c r="P3186" s="340"/>
      <c r="U3186" s="340"/>
      <c r="V3186" s="340"/>
      <c r="Z3186" s="340"/>
      <c r="AE3186" s="340"/>
      <c r="AI3186" s="340"/>
      <c r="AN3186" s="340"/>
      <c r="AO3186" s="340"/>
      <c r="AS3186" s="340"/>
      <c r="AX3186" s="340"/>
      <c r="BB3186" s="340"/>
      <c r="BD3186" s="339"/>
    </row>
    <row r="3187" spans="7:56" s="338" customFormat="1">
      <c r="G3187" s="340"/>
      <c r="L3187" s="340"/>
      <c r="P3187" s="340"/>
      <c r="U3187" s="340"/>
      <c r="V3187" s="340"/>
      <c r="Z3187" s="340"/>
      <c r="AE3187" s="340"/>
      <c r="AI3187" s="340"/>
      <c r="AN3187" s="340"/>
      <c r="AO3187" s="340"/>
      <c r="AS3187" s="340"/>
      <c r="AX3187" s="340"/>
      <c r="BB3187" s="340"/>
      <c r="BD3187" s="339"/>
    </row>
    <row r="3188" spans="7:56" s="338" customFormat="1">
      <c r="G3188" s="340"/>
      <c r="L3188" s="340"/>
      <c r="P3188" s="340"/>
      <c r="U3188" s="340"/>
      <c r="V3188" s="340"/>
      <c r="Z3188" s="340"/>
      <c r="AE3188" s="340"/>
      <c r="AI3188" s="340"/>
      <c r="AN3188" s="340"/>
      <c r="AO3188" s="340"/>
      <c r="AS3188" s="340"/>
      <c r="AX3188" s="340"/>
      <c r="BB3188" s="340"/>
      <c r="BD3188" s="339"/>
    </row>
    <row r="3189" spans="7:56" s="338" customFormat="1">
      <c r="G3189" s="340"/>
      <c r="L3189" s="340"/>
      <c r="P3189" s="340"/>
      <c r="U3189" s="340"/>
      <c r="V3189" s="340"/>
      <c r="Z3189" s="340"/>
      <c r="AE3189" s="340"/>
      <c r="AI3189" s="340"/>
      <c r="AN3189" s="340"/>
      <c r="AO3189" s="340"/>
      <c r="AS3189" s="340"/>
      <c r="AX3189" s="340"/>
      <c r="BB3189" s="340"/>
      <c r="BD3189" s="339"/>
    </row>
    <row r="3190" spans="7:56" s="338" customFormat="1">
      <c r="G3190" s="340"/>
      <c r="L3190" s="340"/>
      <c r="P3190" s="340"/>
      <c r="U3190" s="340"/>
      <c r="V3190" s="340"/>
      <c r="Z3190" s="340"/>
      <c r="AE3190" s="340"/>
      <c r="AI3190" s="340"/>
      <c r="AN3190" s="340"/>
      <c r="AO3190" s="340"/>
      <c r="AS3190" s="340"/>
      <c r="AX3190" s="340"/>
      <c r="BB3190" s="340"/>
      <c r="BD3190" s="339"/>
    </row>
    <row r="3191" spans="7:56" s="338" customFormat="1">
      <c r="G3191" s="340"/>
      <c r="L3191" s="340"/>
      <c r="P3191" s="340"/>
      <c r="U3191" s="340"/>
      <c r="V3191" s="340"/>
      <c r="Z3191" s="340"/>
      <c r="AE3191" s="340"/>
      <c r="AI3191" s="340"/>
      <c r="AN3191" s="340"/>
      <c r="AO3191" s="340"/>
      <c r="AS3191" s="340"/>
      <c r="AX3191" s="340"/>
      <c r="BB3191" s="340"/>
      <c r="BD3191" s="339"/>
    </row>
    <row r="3192" spans="7:56" s="338" customFormat="1">
      <c r="G3192" s="340"/>
      <c r="L3192" s="340"/>
      <c r="P3192" s="340"/>
      <c r="U3192" s="340"/>
      <c r="V3192" s="340"/>
      <c r="Z3192" s="340"/>
      <c r="AE3192" s="340"/>
      <c r="AI3192" s="340"/>
      <c r="AN3192" s="340"/>
      <c r="AO3192" s="340"/>
      <c r="AS3192" s="340"/>
      <c r="AX3192" s="340"/>
      <c r="BB3192" s="340"/>
      <c r="BD3192" s="339"/>
    </row>
    <row r="3193" spans="7:56" s="338" customFormat="1">
      <c r="G3193" s="340"/>
      <c r="L3193" s="340"/>
      <c r="P3193" s="340"/>
      <c r="U3193" s="340"/>
      <c r="V3193" s="340"/>
      <c r="Z3193" s="340"/>
      <c r="AE3193" s="340"/>
      <c r="AI3193" s="340"/>
      <c r="AN3193" s="340"/>
      <c r="AO3193" s="340"/>
      <c r="AS3193" s="340"/>
      <c r="AX3193" s="340"/>
      <c r="BB3193" s="340"/>
      <c r="BD3193" s="339"/>
    </row>
    <row r="3194" spans="7:56" s="338" customFormat="1">
      <c r="G3194" s="340"/>
      <c r="L3194" s="340"/>
      <c r="P3194" s="340"/>
      <c r="U3194" s="340"/>
      <c r="V3194" s="340"/>
      <c r="Z3194" s="340"/>
      <c r="AE3194" s="340"/>
      <c r="AI3194" s="340"/>
      <c r="AN3194" s="340"/>
      <c r="AO3194" s="340"/>
      <c r="AS3194" s="340"/>
      <c r="AX3194" s="340"/>
      <c r="BB3194" s="340"/>
      <c r="BD3194" s="339"/>
    </row>
    <row r="3195" spans="7:56" s="338" customFormat="1">
      <c r="G3195" s="340"/>
      <c r="L3195" s="340"/>
      <c r="P3195" s="340"/>
      <c r="U3195" s="340"/>
      <c r="V3195" s="340"/>
      <c r="Z3195" s="340"/>
      <c r="AE3195" s="340"/>
      <c r="AI3195" s="340"/>
      <c r="AN3195" s="340"/>
      <c r="AO3195" s="340"/>
      <c r="AS3195" s="340"/>
      <c r="AX3195" s="340"/>
      <c r="BB3195" s="340"/>
      <c r="BD3195" s="339"/>
    </row>
    <row r="3196" spans="7:56" s="338" customFormat="1">
      <c r="G3196" s="340"/>
      <c r="L3196" s="340"/>
      <c r="P3196" s="340"/>
      <c r="U3196" s="340"/>
      <c r="V3196" s="340"/>
      <c r="Z3196" s="340"/>
      <c r="AE3196" s="340"/>
      <c r="AI3196" s="340"/>
      <c r="AN3196" s="340"/>
      <c r="AO3196" s="340"/>
      <c r="AS3196" s="340"/>
      <c r="AX3196" s="340"/>
      <c r="BB3196" s="340"/>
      <c r="BD3196" s="339"/>
    </row>
    <row r="3197" spans="7:56" s="338" customFormat="1">
      <c r="G3197" s="340"/>
      <c r="L3197" s="340"/>
      <c r="P3197" s="340"/>
      <c r="U3197" s="340"/>
      <c r="V3197" s="340"/>
      <c r="Z3197" s="340"/>
      <c r="AE3197" s="340"/>
      <c r="AI3197" s="340"/>
      <c r="AN3197" s="340"/>
      <c r="AO3197" s="340"/>
      <c r="AS3197" s="340"/>
      <c r="AX3197" s="340"/>
      <c r="BB3197" s="340"/>
      <c r="BD3197" s="339"/>
    </row>
    <row r="3198" spans="7:56" s="338" customFormat="1">
      <c r="G3198" s="340"/>
      <c r="L3198" s="340"/>
      <c r="P3198" s="340"/>
      <c r="U3198" s="340"/>
      <c r="V3198" s="340"/>
      <c r="Z3198" s="340"/>
      <c r="AE3198" s="340"/>
      <c r="AI3198" s="340"/>
      <c r="AN3198" s="340"/>
      <c r="AO3198" s="340"/>
      <c r="AS3198" s="340"/>
      <c r="AX3198" s="340"/>
      <c r="BB3198" s="340"/>
      <c r="BD3198" s="339"/>
    </row>
    <row r="3199" spans="7:56" s="338" customFormat="1">
      <c r="G3199" s="340"/>
      <c r="L3199" s="340"/>
      <c r="P3199" s="340"/>
      <c r="U3199" s="340"/>
      <c r="V3199" s="340"/>
      <c r="Z3199" s="340"/>
      <c r="AE3199" s="340"/>
      <c r="AI3199" s="340"/>
      <c r="AN3199" s="340"/>
      <c r="AO3199" s="340"/>
      <c r="AS3199" s="340"/>
      <c r="AX3199" s="340"/>
      <c r="BB3199" s="340"/>
      <c r="BD3199" s="339"/>
    </row>
    <row r="3200" spans="7:56" s="338" customFormat="1">
      <c r="G3200" s="340"/>
      <c r="L3200" s="340"/>
      <c r="P3200" s="340"/>
      <c r="U3200" s="340"/>
      <c r="V3200" s="340"/>
      <c r="Z3200" s="340"/>
      <c r="AE3200" s="340"/>
      <c r="AI3200" s="340"/>
      <c r="AN3200" s="340"/>
      <c r="AO3200" s="340"/>
      <c r="AS3200" s="340"/>
      <c r="AX3200" s="340"/>
      <c r="BB3200" s="340"/>
      <c r="BD3200" s="339"/>
    </row>
    <row r="3201" spans="7:56" s="338" customFormat="1">
      <c r="G3201" s="340"/>
      <c r="L3201" s="340"/>
      <c r="P3201" s="340"/>
      <c r="U3201" s="340"/>
      <c r="V3201" s="340"/>
      <c r="Z3201" s="340"/>
      <c r="AE3201" s="340"/>
      <c r="AI3201" s="340"/>
      <c r="AN3201" s="340"/>
      <c r="AO3201" s="340"/>
      <c r="AS3201" s="340"/>
      <c r="AX3201" s="340"/>
      <c r="BB3201" s="340"/>
      <c r="BD3201" s="339"/>
    </row>
    <row r="3202" spans="7:56" s="338" customFormat="1">
      <c r="G3202" s="340"/>
      <c r="L3202" s="340"/>
      <c r="P3202" s="340"/>
      <c r="U3202" s="340"/>
      <c r="V3202" s="340"/>
      <c r="Z3202" s="340"/>
      <c r="AE3202" s="340"/>
      <c r="AI3202" s="340"/>
      <c r="AN3202" s="340"/>
      <c r="AO3202" s="340"/>
      <c r="AS3202" s="340"/>
      <c r="AX3202" s="340"/>
      <c r="BB3202" s="340"/>
      <c r="BD3202" s="339"/>
    </row>
    <row r="3203" spans="7:56" s="338" customFormat="1">
      <c r="G3203" s="340"/>
      <c r="L3203" s="340"/>
      <c r="P3203" s="340"/>
      <c r="U3203" s="340"/>
      <c r="V3203" s="340"/>
      <c r="Z3203" s="340"/>
      <c r="AE3203" s="340"/>
      <c r="AI3203" s="340"/>
      <c r="AN3203" s="340"/>
      <c r="AO3203" s="340"/>
      <c r="AS3203" s="340"/>
      <c r="AX3203" s="340"/>
      <c r="BB3203" s="340"/>
      <c r="BD3203" s="339"/>
    </row>
    <row r="3204" spans="7:56" s="338" customFormat="1">
      <c r="G3204" s="340"/>
      <c r="L3204" s="340"/>
      <c r="P3204" s="340"/>
      <c r="U3204" s="340"/>
      <c r="V3204" s="340"/>
      <c r="Z3204" s="340"/>
      <c r="AE3204" s="340"/>
      <c r="AI3204" s="340"/>
      <c r="AN3204" s="340"/>
      <c r="AO3204" s="340"/>
      <c r="AS3204" s="340"/>
      <c r="AX3204" s="340"/>
      <c r="BB3204" s="340"/>
      <c r="BD3204" s="339"/>
    </row>
    <row r="3205" spans="7:56" s="338" customFormat="1">
      <c r="G3205" s="340"/>
      <c r="L3205" s="340"/>
      <c r="P3205" s="340"/>
      <c r="U3205" s="340"/>
      <c r="V3205" s="340"/>
      <c r="Z3205" s="340"/>
      <c r="AE3205" s="340"/>
      <c r="AI3205" s="340"/>
      <c r="AN3205" s="340"/>
      <c r="AO3205" s="340"/>
      <c r="AS3205" s="340"/>
      <c r="AX3205" s="340"/>
      <c r="BB3205" s="340"/>
      <c r="BD3205" s="339"/>
    </row>
    <row r="3206" spans="7:56" s="338" customFormat="1">
      <c r="G3206" s="340"/>
      <c r="L3206" s="340"/>
      <c r="P3206" s="340"/>
      <c r="U3206" s="340"/>
      <c r="V3206" s="340"/>
      <c r="Z3206" s="340"/>
      <c r="AE3206" s="340"/>
      <c r="AI3206" s="340"/>
      <c r="AN3206" s="340"/>
      <c r="AO3206" s="340"/>
      <c r="AS3206" s="340"/>
      <c r="AX3206" s="340"/>
      <c r="BB3206" s="340"/>
      <c r="BD3206" s="339"/>
    </row>
    <row r="3207" spans="7:56" s="338" customFormat="1">
      <c r="G3207" s="340"/>
      <c r="L3207" s="340"/>
      <c r="P3207" s="340"/>
      <c r="U3207" s="340"/>
      <c r="V3207" s="340"/>
      <c r="Z3207" s="340"/>
      <c r="AE3207" s="340"/>
      <c r="AI3207" s="340"/>
      <c r="AN3207" s="340"/>
      <c r="AO3207" s="340"/>
      <c r="AS3207" s="340"/>
      <c r="AX3207" s="340"/>
      <c r="BB3207" s="340"/>
      <c r="BD3207" s="339"/>
    </row>
    <row r="3208" spans="7:56" s="338" customFormat="1">
      <c r="G3208" s="340"/>
      <c r="L3208" s="340"/>
      <c r="P3208" s="340"/>
      <c r="U3208" s="340"/>
      <c r="V3208" s="340"/>
      <c r="Z3208" s="340"/>
      <c r="AE3208" s="340"/>
      <c r="AI3208" s="340"/>
      <c r="AN3208" s="340"/>
      <c r="AO3208" s="340"/>
      <c r="AS3208" s="340"/>
      <c r="AX3208" s="340"/>
      <c r="BB3208" s="340"/>
      <c r="BD3208" s="339"/>
    </row>
    <row r="3209" spans="7:56" s="338" customFormat="1">
      <c r="G3209" s="340"/>
      <c r="L3209" s="340"/>
      <c r="P3209" s="340"/>
      <c r="U3209" s="340"/>
      <c r="V3209" s="340"/>
      <c r="Z3209" s="340"/>
      <c r="AE3209" s="340"/>
      <c r="AI3209" s="340"/>
      <c r="AN3209" s="340"/>
      <c r="AO3209" s="340"/>
      <c r="AS3209" s="340"/>
      <c r="AX3209" s="340"/>
      <c r="BB3209" s="340"/>
      <c r="BD3209" s="339"/>
    </row>
    <row r="3210" spans="7:56" s="338" customFormat="1">
      <c r="G3210" s="340"/>
      <c r="L3210" s="340"/>
      <c r="P3210" s="340"/>
      <c r="U3210" s="340"/>
      <c r="V3210" s="340"/>
      <c r="Z3210" s="340"/>
      <c r="AE3210" s="340"/>
      <c r="AI3210" s="340"/>
      <c r="AN3210" s="340"/>
      <c r="AO3210" s="340"/>
      <c r="AS3210" s="340"/>
      <c r="AX3210" s="340"/>
      <c r="BB3210" s="340"/>
      <c r="BD3210" s="339"/>
    </row>
    <row r="3211" spans="7:56" s="338" customFormat="1">
      <c r="G3211" s="340"/>
      <c r="L3211" s="340"/>
      <c r="P3211" s="340"/>
      <c r="U3211" s="340"/>
      <c r="V3211" s="340"/>
      <c r="Z3211" s="340"/>
      <c r="AE3211" s="340"/>
      <c r="AI3211" s="340"/>
      <c r="AN3211" s="340"/>
      <c r="AO3211" s="340"/>
      <c r="AS3211" s="340"/>
      <c r="AX3211" s="340"/>
      <c r="BB3211" s="340"/>
      <c r="BD3211" s="339"/>
    </row>
    <row r="3212" spans="7:56" s="338" customFormat="1">
      <c r="G3212" s="340"/>
      <c r="L3212" s="340"/>
      <c r="P3212" s="340"/>
      <c r="U3212" s="340"/>
      <c r="V3212" s="340"/>
      <c r="Z3212" s="340"/>
      <c r="AE3212" s="340"/>
      <c r="AI3212" s="340"/>
      <c r="AN3212" s="340"/>
      <c r="AO3212" s="340"/>
      <c r="AS3212" s="340"/>
      <c r="AX3212" s="340"/>
      <c r="BB3212" s="340"/>
      <c r="BD3212" s="339"/>
    </row>
    <row r="3213" spans="7:56" s="338" customFormat="1">
      <c r="G3213" s="340"/>
      <c r="L3213" s="340"/>
      <c r="P3213" s="340"/>
      <c r="U3213" s="340"/>
      <c r="V3213" s="340"/>
      <c r="Z3213" s="340"/>
      <c r="AE3213" s="340"/>
      <c r="AI3213" s="340"/>
      <c r="AN3213" s="340"/>
      <c r="AO3213" s="340"/>
      <c r="AS3213" s="340"/>
      <c r="AX3213" s="340"/>
      <c r="BB3213" s="340"/>
      <c r="BD3213" s="339"/>
    </row>
    <row r="3214" spans="7:56" s="338" customFormat="1">
      <c r="G3214" s="340"/>
      <c r="L3214" s="340"/>
      <c r="P3214" s="340"/>
      <c r="U3214" s="340"/>
      <c r="V3214" s="340"/>
      <c r="Z3214" s="340"/>
      <c r="AE3214" s="340"/>
      <c r="AI3214" s="340"/>
      <c r="AN3214" s="340"/>
      <c r="AO3214" s="340"/>
      <c r="AS3214" s="340"/>
      <c r="AX3214" s="340"/>
      <c r="BB3214" s="340"/>
      <c r="BD3214" s="339"/>
    </row>
    <row r="3215" spans="7:56" s="338" customFormat="1">
      <c r="G3215" s="340"/>
      <c r="L3215" s="340"/>
      <c r="P3215" s="340"/>
      <c r="U3215" s="340"/>
      <c r="V3215" s="340"/>
      <c r="Z3215" s="340"/>
      <c r="AE3215" s="340"/>
      <c r="AI3215" s="340"/>
      <c r="AN3215" s="340"/>
      <c r="AO3215" s="340"/>
      <c r="AS3215" s="340"/>
      <c r="AX3215" s="340"/>
      <c r="BB3215" s="340"/>
      <c r="BD3215" s="339"/>
    </row>
    <row r="3216" spans="7:56" s="338" customFormat="1">
      <c r="G3216" s="340"/>
      <c r="L3216" s="340"/>
      <c r="P3216" s="340"/>
      <c r="U3216" s="340"/>
      <c r="V3216" s="340"/>
      <c r="Z3216" s="340"/>
      <c r="AE3216" s="340"/>
      <c r="AI3216" s="340"/>
      <c r="AN3216" s="340"/>
      <c r="AO3216" s="340"/>
      <c r="AS3216" s="340"/>
      <c r="AX3216" s="340"/>
      <c r="BB3216" s="340"/>
      <c r="BD3216" s="339"/>
    </row>
    <row r="3217" spans="7:56" s="338" customFormat="1">
      <c r="G3217" s="340"/>
      <c r="L3217" s="340"/>
      <c r="P3217" s="340"/>
      <c r="U3217" s="340"/>
      <c r="V3217" s="340"/>
      <c r="Z3217" s="340"/>
      <c r="AE3217" s="340"/>
      <c r="AI3217" s="340"/>
      <c r="AN3217" s="340"/>
      <c r="AO3217" s="340"/>
      <c r="AS3217" s="340"/>
      <c r="AX3217" s="340"/>
      <c r="BB3217" s="340"/>
      <c r="BD3217" s="339"/>
    </row>
    <row r="3218" spans="7:56" s="338" customFormat="1">
      <c r="G3218" s="340"/>
      <c r="L3218" s="340"/>
      <c r="P3218" s="340"/>
      <c r="U3218" s="340"/>
      <c r="V3218" s="340"/>
      <c r="Z3218" s="340"/>
      <c r="AE3218" s="340"/>
      <c r="AI3218" s="340"/>
      <c r="AN3218" s="340"/>
      <c r="AO3218" s="340"/>
      <c r="AS3218" s="340"/>
      <c r="AX3218" s="340"/>
      <c r="BB3218" s="340"/>
      <c r="BD3218" s="339"/>
    </row>
    <row r="3219" spans="7:56" s="338" customFormat="1">
      <c r="G3219" s="340"/>
      <c r="L3219" s="340"/>
      <c r="P3219" s="340"/>
      <c r="U3219" s="340"/>
      <c r="V3219" s="340"/>
      <c r="Z3219" s="340"/>
      <c r="AE3219" s="340"/>
      <c r="AI3219" s="340"/>
      <c r="AN3219" s="340"/>
      <c r="AO3219" s="340"/>
      <c r="AS3219" s="340"/>
      <c r="AX3219" s="340"/>
      <c r="BB3219" s="340"/>
      <c r="BD3219" s="339"/>
    </row>
    <row r="3220" spans="7:56" s="338" customFormat="1">
      <c r="G3220" s="340"/>
      <c r="L3220" s="340"/>
      <c r="P3220" s="340"/>
      <c r="U3220" s="340"/>
      <c r="V3220" s="340"/>
      <c r="Z3220" s="340"/>
      <c r="AE3220" s="340"/>
      <c r="AI3220" s="340"/>
      <c r="AN3220" s="340"/>
      <c r="AO3220" s="340"/>
      <c r="AS3220" s="340"/>
      <c r="AX3220" s="340"/>
      <c r="BB3220" s="340"/>
      <c r="BD3220" s="339"/>
    </row>
    <row r="3221" spans="7:56" s="338" customFormat="1">
      <c r="G3221" s="340"/>
      <c r="L3221" s="340"/>
      <c r="P3221" s="340"/>
      <c r="U3221" s="340"/>
      <c r="V3221" s="340"/>
      <c r="Z3221" s="340"/>
      <c r="AE3221" s="340"/>
      <c r="AI3221" s="340"/>
      <c r="AN3221" s="340"/>
      <c r="AO3221" s="340"/>
      <c r="AS3221" s="340"/>
      <c r="AX3221" s="340"/>
      <c r="BB3221" s="340"/>
      <c r="BD3221" s="339"/>
    </row>
    <row r="3222" spans="7:56" s="338" customFormat="1">
      <c r="G3222" s="340"/>
      <c r="L3222" s="340"/>
      <c r="P3222" s="340"/>
      <c r="U3222" s="340"/>
      <c r="V3222" s="340"/>
      <c r="Z3222" s="340"/>
      <c r="AE3222" s="340"/>
      <c r="AI3222" s="340"/>
      <c r="AN3222" s="340"/>
      <c r="AO3222" s="340"/>
      <c r="AS3222" s="340"/>
      <c r="AX3222" s="340"/>
      <c r="BB3222" s="340"/>
      <c r="BD3222" s="339"/>
    </row>
    <row r="3223" spans="7:56" s="338" customFormat="1">
      <c r="G3223" s="340"/>
      <c r="L3223" s="340"/>
      <c r="P3223" s="340"/>
      <c r="U3223" s="340"/>
      <c r="V3223" s="340"/>
      <c r="Z3223" s="340"/>
      <c r="AE3223" s="340"/>
      <c r="AI3223" s="340"/>
      <c r="AN3223" s="340"/>
      <c r="AO3223" s="340"/>
      <c r="AS3223" s="340"/>
      <c r="AX3223" s="340"/>
      <c r="BB3223" s="340"/>
      <c r="BD3223" s="339"/>
    </row>
    <row r="3224" spans="7:56" s="338" customFormat="1">
      <c r="G3224" s="340"/>
      <c r="L3224" s="340"/>
      <c r="P3224" s="340"/>
      <c r="U3224" s="340"/>
      <c r="V3224" s="340"/>
      <c r="Z3224" s="340"/>
      <c r="AE3224" s="340"/>
      <c r="AI3224" s="340"/>
      <c r="AN3224" s="340"/>
      <c r="AO3224" s="340"/>
      <c r="AS3224" s="340"/>
      <c r="AX3224" s="340"/>
      <c r="BB3224" s="340"/>
      <c r="BD3224" s="339"/>
    </row>
    <row r="3225" spans="7:56" s="338" customFormat="1">
      <c r="G3225" s="340"/>
      <c r="L3225" s="340"/>
      <c r="P3225" s="340"/>
      <c r="U3225" s="340"/>
      <c r="V3225" s="340"/>
      <c r="Z3225" s="340"/>
      <c r="AE3225" s="340"/>
      <c r="AI3225" s="340"/>
      <c r="AN3225" s="340"/>
      <c r="AO3225" s="340"/>
      <c r="AS3225" s="340"/>
      <c r="AX3225" s="340"/>
      <c r="BB3225" s="340"/>
      <c r="BD3225" s="339"/>
    </row>
    <row r="3226" spans="7:56" s="338" customFormat="1">
      <c r="G3226" s="340"/>
      <c r="L3226" s="340"/>
      <c r="P3226" s="340"/>
      <c r="U3226" s="340"/>
      <c r="V3226" s="340"/>
      <c r="Z3226" s="340"/>
      <c r="AE3226" s="340"/>
      <c r="AI3226" s="340"/>
      <c r="AN3226" s="340"/>
      <c r="AO3226" s="340"/>
      <c r="AS3226" s="340"/>
      <c r="AX3226" s="340"/>
      <c r="BB3226" s="340"/>
      <c r="BD3226" s="339"/>
    </row>
    <row r="3227" spans="7:56" s="338" customFormat="1">
      <c r="G3227" s="340"/>
      <c r="L3227" s="340"/>
      <c r="P3227" s="340"/>
      <c r="U3227" s="340"/>
      <c r="V3227" s="340"/>
      <c r="Z3227" s="340"/>
      <c r="AE3227" s="340"/>
      <c r="AI3227" s="340"/>
      <c r="AN3227" s="340"/>
      <c r="AO3227" s="340"/>
      <c r="AS3227" s="340"/>
      <c r="AX3227" s="340"/>
      <c r="BB3227" s="340"/>
      <c r="BD3227" s="339"/>
    </row>
    <row r="3228" spans="7:56" s="338" customFormat="1">
      <c r="G3228" s="340"/>
      <c r="L3228" s="340"/>
      <c r="P3228" s="340"/>
      <c r="U3228" s="340"/>
      <c r="V3228" s="340"/>
      <c r="Z3228" s="340"/>
      <c r="AE3228" s="340"/>
      <c r="AI3228" s="340"/>
      <c r="AN3228" s="340"/>
      <c r="AO3228" s="340"/>
      <c r="AS3228" s="340"/>
      <c r="AX3228" s="340"/>
      <c r="BB3228" s="340"/>
      <c r="BD3228" s="339"/>
    </row>
    <row r="3229" spans="7:56" s="338" customFormat="1">
      <c r="G3229" s="340"/>
      <c r="L3229" s="340"/>
      <c r="P3229" s="340"/>
      <c r="U3229" s="340"/>
      <c r="V3229" s="340"/>
      <c r="Z3229" s="340"/>
      <c r="AE3229" s="340"/>
      <c r="AI3229" s="340"/>
      <c r="AN3229" s="340"/>
      <c r="AO3229" s="340"/>
      <c r="AS3229" s="340"/>
      <c r="AX3229" s="340"/>
      <c r="BB3229" s="340"/>
      <c r="BD3229" s="339"/>
    </row>
    <row r="3230" spans="7:56" s="338" customFormat="1">
      <c r="G3230" s="340"/>
      <c r="L3230" s="340"/>
      <c r="P3230" s="340"/>
      <c r="U3230" s="340"/>
      <c r="V3230" s="340"/>
      <c r="Z3230" s="340"/>
      <c r="AE3230" s="340"/>
      <c r="AI3230" s="340"/>
      <c r="AN3230" s="340"/>
      <c r="AO3230" s="340"/>
      <c r="AS3230" s="340"/>
      <c r="AX3230" s="340"/>
      <c r="BB3230" s="340"/>
      <c r="BD3230" s="339"/>
    </row>
    <row r="3231" spans="7:56" s="338" customFormat="1">
      <c r="G3231" s="340"/>
      <c r="L3231" s="340"/>
      <c r="P3231" s="340"/>
      <c r="U3231" s="340"/>
      <c r="V3231" s="340"/>
      <c r="Z3231" s="340"/>
      <c r="AE3231" s="340"/>
      <c r="AI3231" s="340"/>
      <c r="AN3231" s="340"/>
      <c r="AO3231" s="340"/>
      <c r="AS3231" s="340"/>
      <c r="AX3231" s="340"/>
      <c r="BB3231" s="340"/>
      <c r="BD3231" s="339"/>
    </row>
    <row r="3232" spans="7:56" s="338" customFormat="1">
      <c r="G3232" s="340"/>
      <c r="L3232" s="340"/>
      <c r="P3232" s="340"/>
      <c r="U3232" s="340"/>
      <c r="V3232" s="340"/>
      <c r="Z3232" s="340"/>
      <c r="AE3232" s="340"/>
      <c r="AI3232" s="340"/>
      <c r="AN3232" s="340"/>
      <c r="AO3232" s="340"/>
      <c r="AS3232" s="340"/>
      <c r="AX3232" s="340"/>
      <c r="BB3232" s="340"/>
      <c r="BD3232" s="339"/>
    </row>
    <row r="3233" spans="7:56" s="338" customFormat="1">
      <c r="G3233" s="340"/>
      <c r="L3233" s="340"/>
      <c r="P3233" s="340"/>
      <c r="U3233" s="340"/>
      <c r="V3233" s="340"/>
      <c r="Z3233" s="340"/>
      <c r="AE3233" s="340"/>
      <c r="AI3233" s="340"/>
      <c r="AN3233" s="340"/>
      <c r="AO3233" s="340"/>
      <c r="AS3233" s="340"/>
      <c r="AX3233" s="340"/>
      <c r="BB3233" s="340"/>
      <c r="BD3233" s="339"/>
    </row>
    <row r="3234" spans="7:56" s="338" customFormat="1">
      <c r="G3234" s="340"/>
      <c r="L3234" s="340"/>
      <c r="P3234" s="340"/>
      <c r="U3234" s="340"/>
      <c r="V3234" s="340"/>
      <c r="Z3234" s="340"/>
      <c r="AE3234" s="340"/>
      <c r="AI3234" s="340"/>
      <c r="AN3234" s="340"/>
      <c r="AO3234" s="340"/>
      <c r="AS3234" s="340"/>
      <c r="AX3234" s="340"/>
      <c r="BB3234" s="340"/>
      <c r="BD3234" s="339"/>
    </row>
    <row r="3235" spans="7:56" s="338" customFormat="1">
      <c r="G3235" s="340"/>
      <c r="L3235" s="340"/>
      <c r="P3235" s="340"/>
      <c r="U3235" s="340"/>
      <c r="V3235" s="340"/>
      <c r="Z3235" s="340"/>
      <c r="AE3235" s="340"/>
      <c r="AI3235" s="340"/>
      <c r="AN3235" s="340"/>
      <c r="AO3235" s="340"/>
      <c r="AS3235" s="340"/>
      <c r="AX3235" s="340"/>
      <c r="BB3235" s="340"/>
      <c r="BD3235" s="339"/>
    </row>
    <row r="3236" spans="7:56" s="338" customFormat="1">
      <c r="G3236" s="340"/>
      <c r="L3236" s="340"/>
      <c r="P3236" s="340"/>
      <c r="U3236" s="340"/>
      <c r="V3236" s="340"/>
      <c r="Z3236" s="340"/>
      <c r="AE3236" s="340"/>
      <c r="AI3236" s="340"/>
      <c r="AN3236" s="340"/>
      <c r="AO3236" s="340"/>
      <c r="AS3236" s="340"/>
      <c r="AX3236" s="340"/>
      <c r="BB3236" s="340"/>
      <c r="BD3236" s="339"/>
    </row>
    <row r="3237" spans="7:56" s="338" customFormat="1">
      <c r="G3237" s="340"/>
      <c r="L3237" s="340"/>
      <c r="P3237" s="340"/>
      <c r="U3237" s="340"/>
      <c r="V3237" s="340"/>
      <c r="Z3237" s="340"/>
      <c r="AE3237" s="340"/>
      <c r="AI3237" s="340"/>
      <c r="AN3237" s="340"/>
      <c r="AO3237" s="340"/>
      <c r="AS3237" s="340"/>
      <c r="AX3237" s="340"/>
      <c r="BB3237" s="340"/>
      <c r="BD3237" s="339"/>
    </row>
    <row r="3238" spans="7:56" s="338" customFormat="1">
      <c r="G3238" s="340"/>
      <c r="L3238" s="340"/>
      <c r="P3238" s="340"/>
      <c r="U3238" s="340"/>
      <c r="V3238" s="340"/>
      <c r="Z3238" s="340"/>
      <c r="AE3238" s="340"/>
      <c r="AI3238" s="340"/>
      <c r="AN3238" s="340"/>
      <c r="AO3238" s="340"/>
      <c r="AS3238" s="340"/>
      <c r="AX3238" s="340"/>
      <c r="BB3238" s="340"/>
      <c r="BD3238" s="339"/>
    </row>
    <row r="3239" spans="7:56" s="338" customFormat="1">
      <c r="G3239" s="340"/>
      <c r="L3239" s="340"/>
      <c r="P3239" s="340"/>
      <c r="U3239" s="340"/>
      <c r="V3239" s="340"/>
      <c r="Z3239" s="340"/>
      <c r="AE3239" s="340"/>
      <c r="AI3239" s="340"/>
      <c r="AN3239" s="340"/>
      <c r="AO3239" s="340"/>
      <c r="AS3239" s="340"/>
      <c r="AX3239" s="340"/>
      <c r="BB3239" s="340"/>
      <c r="BD3239" s="339"/>
    </row>
    <row r="3240" spans="7:56" s="338" customFormat="1">
      <c r="G3240" s="340"/>
      <c r="L3240" s="340"/>
      <c r="P3240" s="340"/>
      <c r="U3240" s="340"/>
      <c r="V3240" s="340"/>
      <c r="Z3240" s="340"/>
      <c r="AE3240" s="340"/>
      <c r="AI3240" s="340"/>
      <c r="AN3240" s="340"/>
      <c r="AO3240" s="340"/>
      <c r="AS3240" s="340"/>
      <c r="AX3240" s="340"/>
      <c r="BB3240" s="340"/>
      <c r="BD3240" s="339"/>
    </row>
    <row r="3241" spans="7:56" s="338" customFormat="1">
      <c r="G3241" s="340"/>
      <c r="L3241" s="340"/>
      <c r="P3241" s="340"/>
      <c r="U3241" s="340"/>
      <c r="V3241" s="340"/>
      <c r="Z3241" s="340"/>
      <c r="AE3241" s="340"/>
      <c r="AI3241" s="340"/>
      <c r="AN3241" s="340"/>
      <c r="AO3241" s="340"/>
      <c r="AS3241" s="340"/>
      <c r="AX3241" s="340"/>
      <c r="BB3241" s="340"/>
      <c r="BD3241" s="339"/>
    </row>
    <row r="3242" spans="7:56" s="338" customFormat="1">
      <c r="G3242" s="340"/>
      <c r="L3242" s="340"/>
      <c r="P3242" s="340"/>
      <c r="U3242" s="340"/>
      <c r="V3242" s="340"/>
      <c r="Z3242" s="340"/>
      <c r="AE3242" s="340"/>
      <c r="AI3242" s="340"/>
      <c r="AN3242" s="340"/>
      <c r="AO3242" s="340"/>
      <c r="AS3242" s="340"/>
      <c r="AX3242" s="340"/>
      <c r="BB3242" s="340"/>
      <c r="BD3242" s="339"/>
    </row>
    <row r="3243" spans="7:56" s="338" customFormat="1">
      <c r="G3243" s="340"/>
      <c r="L3243" s="340"/>
      <c r="P3243" s="340"/>
      <c r="U3243" s="340"/>
      <c r="V3243" s="340"/>
      <c r="Z3243" s="340"/>
      <c r="AE3243" s="340"/>
      <c r="AI3243" s="340"/>
      <c r="AN3243" s="340"/>
      <c r="AO3243" s="340"/>
      <c r="AS3243" s="340"/>
      <c r="AX3243" s="340"/>
      <c r="BB3243" s="340"/>
      <c r="BD3243" s="339"/>
    </row>
    <row r="3244" spans="7:56" s="338" customFormat="1">
      <c r="G3244" s="340"/>
      <c r="L3244" s="340"/>
      <c r="P3244" s="340"/>
      <c r="U3244" s="340"/>
      <c r="V3244" s="340"/>
      <c r="Z3244" s="340"/>
      <c r="AE3244" s="340"/>
      <c r="AI3244" s="340"/>
      <c r="AN3244" s="340"/>
      <c r="AO3244" s="340"/>
      <c r="AS3244" s="340"/>
      <c r="AX3244" s="340"/>
      <c r="BB3244" s="340"/>
      <c r="BD3244" s="339"/>
    </row>
    <row r="3245" spans="7:56" s="338" customFormat="1">
      <c r="G3245" s="340"/>
      <c r="L3245" s="340"/>
      <c r="P3245" s="340"/>
      <c r="U3245" s="340"/>
      <c r="V3245" s="340"/>
      <c r="Z3245" s="340"/>
      <c r="AE3245" s="340"/>
      <c r="AI3245" s="340"/>
      <c r="AN3245" s="340"/>
      <c r="AO3245" s="340"/>
      <c r="AS3245" s="340"/>
      <c r="AX3245" s="340"/>
      <c r="BB3245" s="340"/>
      <c r="BD3245" s="339"/>
    </row>
    <row r="3246" spans="7:56" s="338" customFormat="1">
      <c r="G3246" s="340"/>
      <c r="L3246" s="340"/>
      <c r="P3246" s="340"/>
      <c r="U3246" s="340"/>
      <c r="V3246" s="340"/>
      <c r="Z3246" s="340"/>
      <c r="AE3246" s="340"/>
      <c r="AI3246" s="340"/>
      <c r="AN3246" s="340"/>
      <c r="AO3246" s="340"/>
      <c r="AS3246" s="340"/>
      <c r="AX3246" s="340"/>
      <c r="BB3246" s="340"/>
      <c r="BD3246" s="339"/>
    </row>
    <row r="3247" spans="7:56" s="338" customFormat="1">
      <c r="G3247" s="340"/>
      <c r="L3247" s="340"/>
      <c r="P3247" s="340"/>
      <c r="U3247" s="340"/>
      <c r="V3247" s="340"/>
      <c r="Z3247" s="340"/>
      <c r="AE3247" s="340"/>
      <c r="AI3247" s="340"/>
      <c r="AN3247" s="340"/>
      <c r="AO3247" s="340"/>
      <c r="AS3247" s="340"/>
      <c r="AX3247" s="340"/>
      <c r="BB3247" s="340"/>
      <c r="BD3247" s="339"/>
    </row>
    <row r="3248" spans="7:56" s="338" customFormat="1">
      <c r="G3248" s="340"/>
      <c r="L3248" s="340"/>
      <c r="P3248" s="340"/>
      <c r="U3248" s="340"/>
      <c r="V3248" s="340"/>
      <c r="Z3248" s="340"/>
      <c r="AE3248" s="340"/>
      <c r="AI3248" s="340"/>
      <c r="AN3248" s="340"/>
      <c r="AO3248" s="340"/>
      <c r="AS3248" s="340"/>
      <c r="AX3248" s="340"/>
      <c r="BB3248" s="340"/>
      <c r="BD3248" s="339"/>
    </row>
    <row r="3249" spans="7:56" s="338" customFormat="1">
      <c r="G3249" s="340"/>
      <c r="L3249" s="340"/>
      <c r="P3249" s="340"/>
      <c r="U3249" s="340"/>
      <c r="V3249" s="340"/>
      <c r="Z3249" s="340"/>
      <c r="AE3249" s="340"/>
      <c r="AI3249" s="340"/>
      <c r="AN3249" s="340"/>
      <c r="AO3249" s="340"/>
      <c r="AS3249" s="340"/>
      <c r="AX3249" s="340"/>
      <c r="BB3249" s="340"/>
      <c r="BD3249" s="339"/>
    </row>
    <row r="3250" spans="7:56" s="338" customFormat="1">
      <c r="G3250" s="340"/>
      <c r="L3250" s="340"/>
      <c r="P3250" s="340"/>
      <c r="U3250" s="340"/>
      <c r="V3250" s="340"/>
      <c r="Z3250" s="340"/>
      <c r="AE3250" s="340"/>
      <c r="AI3250" s="340"/>
      <c r="AN3250" s="340"/>
      <c r="AO3250" s="340"/>
      <c r="AS3250" s="340"/>
      <c r="AX3250" s="340"/>
      <c r="BB3250" s="340"/>
      <c r="BD3250" s="339"/>
    </row>
    <row r="3251" spans="7:56" s="338" customFormat="1">
      <c r="G3251" s="340"/>
      <c r="L3251" s="340"/>
      <c r="P3251" s="340"/>
      <c r="U3251" s="340"/>
      <c r="V3251" s="340"/>
      <c r="Z3251" s="340"/>
      <c r="AE3251" s="340"/>
      <c r="AI3251" s="340"/>
      <c r="AN3251" s="340"/>
      <c r="AO3251" s="340"/>
      <c r="AS3251" s="340"/>
      <c r="AX3251" s="340"/>
      <c r="BB3251" s="340"/>
      <c r="BD3251" s="339"/>
    </row>
    <row r="3252" spans="7:56" s="338" customFormat="1">
      <c r="G3252" s="340"/>
      <c r="L3252" s="340"/>
      <c r="P3252" s="340"/>
      <c r="U3252" s="340"/>
      <c r="V3252" s="340"/>
      <c r="Z3252" s="340"/>
      <c r="AE3252" s="340"/>
      <c r="AI3252" s="340"/>
      <c r="AN3252" s="340"/>
      <c r="AO3252" s="340"/>
      <c r="AS3252" s="340"/>
      <c r="AX3252" s="340"/>
      <c r="BB3252" s="340"/>
      <c r="BD3252" s="339"/>
    </row>
    <row r="3253" spans="7:56" s="338" customFormat="1">
      <c r="G3253" s="340"/>
      <c r="L3253" s="340"/>
      <c r="P3253" s="340"/>
      <c r="U3253" s="340"/>
      <c r="V3253" s="340"/>
      <c r="Z3253" s="340"/>
      <c r="AE3253" s="340"/>
      <c r="AI3253" s="340"/>
      <c r="AN3253" s="340"/>
      <c r="AO3253" s="340"/>
      <c r="AS3253" s="340"/>
      <c r="AX3253" s="340"/>
      <c r="BB3253" s="340"/>
      <c r="BD3253" s="339"/>
    </row>
    <row r="3254" spans="7:56" s="338" customFormat="1">
      <c r="G3254" s="340"/>
      <c r="L3254" s="340"/>
      <c r="P3254" s="340"/>
      <c r="U3254" s="340"/>
      <c r="V3254" s="340"/>
      <c r="Z3254" s="340"/>
      <c r="AE3254" s="340"/>
      <c r="AI3254" s="340"/>
      <c r="AN3254" s="340"/>
      <c r="AO3254" s="340"/>
      <c r="AS3254" s="340"/>
      <c r="AX3254" s="340"/>
      <c r="BB3254" s="340"/>
      <c r="BD3254" s="339"/>
    </row>
    <row r="3255" spans="7:56" s="338" customFormat="1">
      <c r="G3255" s="340"/>
      <c r="L3255" s="340"/>
      <c r="P3255" s="340"/>
      <c r="U3255" s="340"/>
      <c r="V3255" s="340"/>
      <c r="Z3255" s="340"/>
      <c r="AE3255" s="340"/>
      <c r="AI3255" s="340"/>
      <c r="AN3255" s="340"/>
      <c r="AO3255" s="340"/>
      <c r="AS3255" s="340"/>
      <c r="AX3255" s="340"/>
      <c r="BB3255" s="340"/>
      <c r="BD3255" s="339"/>
    </row>
    <row r="3256" spans="7:56" s="338" customFormat="1">
      <c r="G3256" s="340"/>
      <c r="L3256" s="340"/>
      <c r="P3256" s="340"/>
      <c r="U3256" s="340"/>
      <c r="V3256" s="340"/>
      <c r="Z3256" s="340"/>
      <c r="AE3256" s="340"/>
      <c r="AI3256" s="340"/>
      <c r="AN3256" s="340"/>
      <c r="AO3256" s="340"/>
      <c r="AS3256" s="340"/>
      <c r="AX3256" s="340"/>
      <c r="BB3256" s="340"/>
      <c r="BD3256" s="339"/>
    </row>
    <row r="3257" spans="7:56" s="338" customFormat="1">
      <c r="G3257" s="340"/>
      <c r="L3257" s="340"/>
      <c r="P3257" s="340"/>
      <c r="U3257" s="340"/>
      <c r="V3257" s="340"/>
      <c r="Z3257" s="340"/>
      <c r="AE3257" s="340"/>
      <c r="AI3257" s="340"/>
      <c r="AN3257" s="340"/>
      <c r="AO3257" s="340"/>
      <c r="AS3257" s="340"/>
      <c r="AX3257" s="340"/>
      <c r="BB3257" s="340"/>
      <c r="BD3257" s="339"/>
    </row>
    <row r="3258" spans="7:56" s="338" customFormat="1">
      <c r="G3258" s="340"/>
      <c r="L3258" s="340"/>
      <c r="P3258" s="340"/>
      <c r="U3258" s="340"/>
      <c r="V3258" s="340"/>
      <c r="Z3258" s="340"/>
      <c r="AE3258" s="340"/>
      <c r="AI3258" s="340"/>
      <c r="AN3258" s="340"/>
      <c r="AO3258" s="340"/>
      <c r="AS3258" s="340"/>
      <c r="AX3258" s="340"/>
      <c r="BB3258" s="340"/>
      <c r="BD3258" s="339"/>
    </row>
    <row r="3259" spans="7:56" s="338" customFormat="1">
      <c r="G3259" s="340"/>
      <c r="L3259" s="340"/>
      <c r="P3259" s="340"/>
      <c r="U3259" s="340"/>
      <c r="V3259" s="340"/>
      <c r="Z3259" s="340"/>
      <c r="AE3259" s="340"/>
      <c r="AI3259" s="340"/>
      <c r="AN3259" s="340"/>
      <c r="AO3259" s="340"/>
      <c r="AS3259" s="340"/>
      <c r="AX3259" s="340"/>
      <c r="BB3259" s="340"/>
      <c r="BD3259" s="339"/>
    </row>
    <row r="3260" spans="7:56" s="338" customFormat="1">
      <c r="G3260" s="340"/>
      <c r="L3260" s="340"/>
      <c r="P3260" s="340"/>
      <c r="U3260" s="340"/>
      <c r="V3260" s="340"/>
      <c r="Z3260" s="340"/>
      <c r="AE3260" s="340"/>
      <c r="AI3260" s="340"/>
      <c r="AN3260" s="340"/>
      <c r="AO3260" s="340"/>
      <c r="AS3260" s="340"/>
      <c r="AX3260" s="340"/>
      <c r="BB3260" s="340"/>
      <c r="BD3260" s="339"/>
    </row>
    <row r="3261" spans="7:56" s="338" customFormat="1">
      <c r="G3261" s="340"/>
      <c r="L3261" s="340"/>
      <c r="P3261" s="340"/>
      <c r="U3261" s="340"/>
      <c r="V3261" s="340"/>
      <c r="Z3261" s="340"/>
      <c r="AE3261" s="340"/>
      <c r="AI3261" s="340"/>
      <c r="AN3261" s="340"/>
      <c r="AO3261" s="340"/>
      <c r="AS3261" s="340"/>
      <c r="AX3261" s="340"/>
      <c r="BB3261" s="340"/>
      <c r="BD3261" s="339"/>
    </row>
    <row r="3262" spans="7:56" s="338" customFormat="1">
      <c r="G3262" s="340"/>
      <c r="L3262" s="340"/>
      <c r="P3262" s="340"/>
      <c r="U3262" s="340"/>
      <c r="V3262" s="340"/>
      <c r="Z3262" s="340"/>
      <c r="AE3262" s="340"/>
      <c r="AI3262" s="340"/>
      <c r="AN3262" s="340"/>
      <c r="AO3262" s="340"/>
      <c r="AS3262" s="340"/>
      <c r="AX3262" s="340"/>
      <c r="BB3262" s="340"/>
      <c r="BD3262" s="339"/>
    </row>
    <row r="3263" spans="7:56" s="338" customFormat="1">
      <c r="G3263" s="340"/>
      <c r="L3263" s="340"/>
      <c r="P3263" s="340"/>
      <c r="U3263" s="340"/>
      <c r="V3263" s="340"/>
      <c r="Z3263" s="340"/>
      <c r="AE3263" s="340"/>
      <c r="AI3263" s="340"/>
      <c r="AN3263" s="340"/>
      <c r="AO3263" s="340"/>
      <c r="AS3263" s="340"/>
      <c r="AX3263" s="340"/>
      <c r="BB3263" s="340"/>
      <c r="BD3263" s="339"/>
    </row>
    <row r="3264" spans="7:56" s="338" customFormat="1">
      <c r="G3264" s="340"/>
      <c r="L3264" s="340"/>
      <c r="P3264" s="340"/>
      <c r="U3264" s="340"/>
      <c r="V3264" s="340"/>
      <c r="Z3264" s="340"/>
      <c r="AE3264" s="340"/>
      <c r="AI3264" s="340"/>
      <c r="AN3264" s="340"/>
      <c r="AO3264" s="340"/>
      <c r="AS3264" s="340"/>
      <c r="AX3264" s="340"/>
      <c r="BB3264" s="340"/>
      <c r="BD3264" s="339"/>
    </row>
    <row r="3265" spans="7:56" s="338" customFormat="1">
      <c r="G3265" s="340"/>
      <c r="L3265" s="340"/>
      <c r="P3265" s="340"/>
      <c r="U3265" s="340"/>
      <c r="V3265" s="340"/>
      <c r="Z3265" s="340"/>
      <c r="AE3265" s="340"/>
      <c r="AI3265" s="340"/>
      <c r="AN3265" s="340"/>
      <c r="AO3265" s="340"/>
      <c r="AS3265" s="340"/>
      <c r="AX3265" s="340"/>
      <c r="BB3265" s="340"/>
      <c r="BD3265" s="339"/>
    </row>
    <row r="3266" spans="7:56" s="338" customFormat="1">
      <c r="G3266" s="340"/>
      <c r="L3266" s="340"/>
      <c r="P3266" s="340"/>
      <c r="U3266" s="340"/>
      <c r="V3266" s="340"/>
      <c r="Z3266" s="340"/>
      <c r="AE3266" s="340"/>
      <c r="AI3266" s="340"/>
      <c r="AN3266" s="340"/>
      <c r="AO3266" s="340"/>
      <c r="AS3266" s="340"/>
      <c r="AX3266" s="340"/>
      <c r="BB3266" s="340"/>
      <c r="BD3266" s="339"/>
    </row>
    <row r="3267" spans="7:56" s="338" customFormat="1">
      <c r="G3267" s="340"/>
      <c r="L3267" s="340"/>
      <c r="P3267" s="340"/>
      <c r="U3267" s="340"/>
      <c r="V3267" s="340"/>
      <c r="Z3267" s="340"/>
      <c r="AE3267" s="340"/>
      <c r="AI3267" s="340"/>
      <c r="AN3267" s="340"/>
      <c r="AO3267" s="340"/>
      <c r="AS3267" s="340"/>
      <c r="AX3267" s="340"/>
      <c r="BB3267" s="340"/>
      <c r="BD3267" s="339"/>
    </row>
    <row r="3268" spans="7:56" s="338" customFormat="1">
      <c r="G3268" s="340"/>
      <c r="L3268" s="340"/>
      <c r="P3268" s="340"/>
      <c r="U3268" s="340"/>
      <c r="V3268" s="340"/>
      <c r="Z3268" s="340"/>
      <c r="AE3268" s="340"/>
      <c r="AI3268" s="340"/>
      <c r="AN3268" s="340"/>
      <c r="AO3268" s="340"/>
      <c r="AS3268" s="340"/>
      <c r="AX3268" s="340"/>
      <c r="BB3268" s="340"/>
      <c r="BD3268" s="339"/>
    </row>
    <row r="3269" spans="7:56" s="338" customFormat="1">
      <c r="G3269" s="340"/>
      <c r="L3269" s="340"/>
      <c r="P3269" s="340"/>
      <c r="U3269" s="340"/>
      <c r="V3269" s="340"/>
      <c r="Z3269" s="340"/>
      <c r="AE3269" s="340"/>
      <c r="AI3269" s="340"/>
      <c r="AN3269" s="340"/>
      <c r="AO3269" s="340"/>
      <c r="AS3269" s="340"/>
      <c r="AX3269" s="340"/>
      <c r="BB3269" s="340"/>
      <c r="BD3269" s="339"/>
    </row>
    <row r="3270" spans="7:56" s="338" customFormat="1">
      <c r="G3270" s="340"/>
      <c r="L3270" s="340"/>
      <c r="P3270" s="340"/>
      <c r="U3270" s="340"/>
      <c r="V3270" s="340"/>
      <c r="Z3270" s="340"/>
      <c r="AE3270" s="340"/>
      <c r="AI3270" s="340"/>
      <c r="AN3270" s="340"/>
      <c r="AO3270" s="340"/>
      <c r="AS3270" s="340"/>
      <c r="AX3270" s="340"/>
      <c r="BB3270" s="340"/>
      <c r="BD3270" s="339"/>
    </row>
    <row r="3271" spans="7:56" s="338" customFormat="1">
      <c r="G3271" s="340"/>
      <c r="L3271" s="340"/>
      <c r="P3271" s="340"/>
      <c r="U3271" s="340"/>
      <c r="V3271" s="340"/>
      <c r="Z3271" s="340"/>
      <c r="AE3271" s="340"/>
      <c r="AI3271" s="340"/>
      <c r="AN3271" s="340"/>
      <c r="AO3271" s="340"/>
      <c r="AS3271" s="340"/>
      <c r="AX3271" s="340"/>
      <c r="BB3271" s="340"/>
      <c r="BD3271" s="339"/>
    </row>
    <row r="3272" spans="7:56" s="338" customFormat="1">
      <c r="G3272" s="340"/>
      <c r="L3272" s="340"/>
      <c r="P3272" s="340"/>
      <c r="U3272" s="340"/>
      <c r="V3272" s="340"/>
      <c r="Z3272" s="340"/>
      <c r="AE3272" s="340"/>
      <c r="AI3272" s="340"/>
      <c r="AN3272" s="340"/>
      <c r="AO3272" s="340"/>
      <c r="AS3272" s="340"/>
      <c r="AX3272" s="340"/>
      <c r="BB3272" s="340"/>
      <c r="BD3272" s="339"/>
    </row>
    <row r="3273" spans="7:56" s="338" customFormat="1">
      <c r="G3273" s="340"/>
      <c r="L3273" s="340"/>
      <c r="P3273" s="340"/>
      <c r="U3273" s="340"/>
      <c r="V3273" s="340"/>
      <c r="Z3273" s="340"/>
      <c r="AE3273" s="340"/>
      <c r="AI3273" s="340"/>
      <c r="AN3273" s="340"/>
      <c r="AO3273" s="340"/>
      <c r="AS3273" s="340"/>
      <c r="AX3273" s="340"/>
      <c r="BB3273" s="340"/>
      <c r="BD3273" s="339"/>
    </row>
    <row r="3274" spans="7:56" s="338" customFormat="1">
      <c r="G3274" s="340"/>
      <c r="L3274" s="340"/>
      <c r="P3274" s="340"/>
      <c r="U3274" s="340"/>
      <c r="V3274" s="340"/>
      <c r="Z3274" s="340"/>
      <c r="AE3274" s="340"/>
      <c r="AI3274" s="340"/>
      <c r="AN3274" s="340"/>
      <c r="AO3274" s="340"/>
      <c r="AS3274" s="340"/>
      <c r="AX3274" s="340"/>
      <c r="BB3274" s="340"/>
      <c r="BD3274" s="339"/>
    </row>
    <row r="3275" spans="7:56" s="338" customFormat="1">
      <c r="G3275" s="340"/>
      <c r="L3275" s="340"/>
      <c r="P3275" s="340"/>
      <c r="U3275" s="340"/>
      <c r="V3275" s="340"/>
      <c r="Z3275" s="340"/>
      <c r="AE3275" s="340"/>
      <c r="AI3275" s="340"/>
      <c r="AN3275" s="340"/>
      <c r="AO3275" s="340"/>
      <c r="AS3275" s="340"/>
      <c r="AX3275" s="340"/>
      <c r="BB3275" s="340"/>
      <c r="BD3275" s="339"/>
    </row>
    <row r="3276" spans="7:56" s="338" customFormat="1">
      <c r="G3276" s="340"/>
      <c r="L3276" s="340"/>
      <c r="P3276" s="340"/>
      <c r="U3276" s="340"/>
      <c r="V3276" s="340"/>
      <c r="Z3276" s="340"/>
      <c r="AE3276" s="340"/>
      <c r="AI3276" s="340"/>
      <c r="AN3276" s="340"/>
      <c r="AO3276" s="340"/>
      <c r="AS3276" s="340"/>
      <c r="AX3276" s="340"/>
      <c r="BB3276" s="340"/>
      <c r="BD3276" s="339"/>
    </row>
    <row r="3277" spans="7:56" s="338" customFormat="1">
      <c r="G3277" s="340"/>
      <c r="L3277" s="340"/>
      <c r="P3277" s="340"/>
      <c r="U3277" s="340"/>
      <c r="V3277" s="340"/>
      <c r="Z3277" s="340"/>
      <c r="AE3277" s="340"/>
      <c r="AI3277" s="340"/>
      <c r="AN3277" s="340"/>
      <c r="AO3277" s="340"/>
      <c r="AS3277" s="340"/>
      <c r="AX3277" s="340"/>
      <c r="BB3277" s="340"/>
      <c r="BD3277" s="339"/>
    </row>
    <row r="3278" spans="7:56" s="338" customFormat="1">
      <c r="G3278" s="340"/>
      <c r="L3278" s="340"/>
      <c r="P3278" s="340"/>
      <c r="U3278" s="340"/>
      <c r="V3278" s="340"/>
      <c r="Z3278" s="340"/>
      <c r="AE3278" s="340"/>
      <c r="AI3278" s="340"/>
      <c r="AN3278" s="340"/>
      <c r="AO3278" s="340"/>
      <c r="AS3278" s="340"/>
      <c r="AX3278" s="340"/>
      <c r="BB3278" s="340"/>
      <c r="BD3278" s="339"/>
    </row>
    <row r="3279" spans="7:56" s="338" customFormat="1">
      <c r="G3279" s="340"/>
      <c r="L3279" s="340"/>
      <c r="P3279" s="340"/>
      <c r="U3279" s="340"/>
      <c r="V3279" s="340"/>
      <c r="Z3279" s="340"/>
      <c r="AE3279" s="340"/>
      <c r="AI3279" s="340"/>
      <c r="AN3279" s="340"/>
      <c r="AO3279" s="340"/>
      <c r="AS3279" s="340"/>
      <c r="AX3279" s="340"/>
      <c r="BB3279" s="340"/>
      <c r="BD3279" s="339"/>
    </row>
    <row r="3280" spans="7:56" s="338" customFormat="1">
      <c r="G3280" s="340"/>
      <c r="L3280" s="340"/>
      <c r="P3280" s="340"/>
      <c r="U3280" s="340"/>
      <c r="V3280" s="340"/>
      <c r="Z3280" s="340"/>
      <c r="AE3280" s="340"/>
      <c r="AI3280" s="340"/>
      <c r="AN3280" s="340"/>
      <c r="AO3280" s="340"/>
      <c r="AS3280" s="340"/>
      <c r="AX3280" s="340"/>
      <c r="BB3280" s="340"/>
      <c r="BD3280" s="339"/>
    </row>
    <row r="3281" spans="7:56" s="338" customFormat="1">
      <c r="G3281" s="340"/>
      <c r="L3281" s="340"/>
      <c r="P3281" s="340"/>
      <c r="U3281" s="340"/>
      <c r="V3281" s="340"/>
      <c r="Z3281" s="340"/>
      <c r="AE3281" s="340"/>
      <c r="AI3281" s="340"/>
      <c r="AN3281" s="340"/>
      <c r="AO3281" s="340"/>
      <c r="AS3281" s="340"/>
      <c r="AX3281" s="340"/>
      <c r="BB3281" s="340"/>
      <c r="BD3281" s="339"/>
    </row>
    <row r="3282" spans="7:56" s="338" customFormat="1">
      <c r="G3282" s="340"/>
      <c r="L3282" s="340"/>
      <c r="P3282" s="340"/>
      <c r="U3282" s="340"/>
      <c r="V3282" s="340"/>
      <c r="Z3282" s="340"/>
      <c r="AE3282" s="340"/>
      <c r="AI3282" s="340"/>
      <c r="AN3282" s="340"/>
      <c r="AO3282" s="340"/>
      <c r="AS3282" s="340"/>
      <c r="AX3282" s="340"/>
      <c r="BB3282" s="340"/>
      <c r="BD3282" s="339"/>
    </row>
    <row r="3283" spans="7:56" s="338" customFormat="1">
      <c r="G3283" s="340"/>
      <c r="L3283" s="340"/>
      <c r="P3283" s="340"/>
      <c r="U3283" s="340"/>
      <c r="V3283" s="340"/>
      <c r="Z3283" s="340"/>
      <c r="AE3283" s="340"/>
      <c r="AI3283" s="340"/>
      <c r="AN3283" s="340"/>
      <c r="AO3283" s="340"/>
      <c r="AS3283" s="340"/>
      <c r="AX3283" s="340"/>
      <c r="BB3283" s="340"/>
      <c r="BD3283" s="339"/>
    </row>
    <row r="3284" spans="7:56" s="338" customFormat="1">
      <c r="G3284" s="340"/>
      <c r="L3284" s="340"/>
      <c r="P3284" s="340"/>
      <c r="U3284" s="340"/>
      <c r="V3284" s="340"/>
      <c r="Z3284" s="340"/>
      <c r="AE3284" s="340"/>
      <c r="AI3284" s="340"/>
      <c r="AN3284" s="340"/>
      <c r="AO3284" s="340"/>
      <c r="AS3284" s="340"/>
      <c r="AX3284" s="340"/>
      <c r="BB3284" s="340"/>
      <c r="BD3284" s="339"/>
    </row>
    <row r="3285" spans="7:56" s="338" customFormat="1">
      <c r="G3285" s="340"/>
      <c r="L3285" s="340"/>
      <c r="P3285" s="340"/>
      <c r="U3285" s="340"/>
      <c r="V3285" s="340"/>
      <c r="Z3285" s="340"/>
      <c r="AE3285" s="340"/>
      <c r="AI3285" s="340"/>
      <c r="AN3285" s="340"/>
      <c r="AO3285" s="340"/>
      <c r="AS3285" s="340"/>
      <c r="AX3285" s="340"/>
      <c r="BB3285" s="340"/>
      <c r="BD3285" s="339"/>
    </row>
    <row r="3286" spans="7:56" s="338" customFormat="1">
      <c r="G3286" s="340"/>
      <c r="L3286" s="340"/>
      <c r="P3286" s="340"/>
      <c r="U3286" s="340"/>
      <c r="V3286" s="340"/>
      <c r="Z3286" s="340"/>
      <c r="AE3286" s="340"/>
      <c r="AI3286" s="340"/>
      <c r="AN3286" s="340"/>
      <c r="AO3286" s="340"/>
      <c r="AS3286" s="340"/>
      <c r="AX3286" s="340"/>
      <c r="BB3286" s="340"/>
      <c r="BD3286" s="339"/>
    </row>
    <row r="3287" spans="7:56" s="338" customFormat="1">
      <c r="G3287" s="340"/>
      <c r="L3287" s="340"/>
      <c r="P3287" s="340"/>
      <c r="U3287" s="340"/>
      <c r="V3287" s="340"/>
      <c r="Z3287" s="340"/>
      <c r="AE3287" s="340"/>
      <c r="AI3287" s="340"/>
      <c r="AN3287" s="340"/>
      <c r="AO3287" s="340"/>
      <c r="AS3287" s="340"/>
      <c r="AX3287" s="340"/>
      <c r="BB3287" s="340"/>
      <c r="BD3287" s="339"/>
    </row>
    <row r="3288" spans="7:56" s="338" customFormat="1">
      <c r="G3288" s="340"/>
      <c r="L3288" s="340"/>
      <c r="P3288" s="340"/>
      <c r="U3288" s="340"/>
      <c r="V3288" s="340"/>
      <c r="Z3288" s="340"/>
      <c r="AE3288" s="340"/>
      <c r="AI3288" s="340"/>
      <c r="AN3288" s="340"/>
      <c r="AO3288" s="340"/>
      <c r="AS3288" s="340"/>
      <c r="AX3288" s="340"/>
      <c r="BB3288" s="340"/>
      <c r="BD3288" s="339"/>
    </row>
    <row r="3289" spans="7:56" s="338" customFormat="1">
      <c r="G3289" s="340"/>
      <c r="L3289" s="340"/>
      <c r="P3289" s="340"/>
      <c r="U3289" s="340"/>
      <c r="V3289" s="340"/>
      <c r="Z3289" s="340"/>
      <c r="AE3289" s="340"/>
      <c r="AI3289" s="340"/>
      <c r="AN3289" s="340"/>
      <c r="AO3289" s="340"/>
      <c r="AS3289" s="340"/>
      <c r="AX3289" s="340"/>
      <c r="BB3289" s="340"/>
      <c r="BD3289" s="339"/>
    </row>
    <row r="3290" spans="7:56" s="338" customFormat="1">
      <c r="G3290" s="340"/>
      <c r="L3290" s="340"/>
      <c r="P3290" s="340"/>
      <c r="U3290" s="340"/>
      <c r="V3290" s="340"/>
      <c r="Z3290" s="340"/>
      <c r="AE3290" s="340"/>
      <c r="AI3290" s="340"/>
      <c r="AN3290" s="340"/>
      <c r="AO3290" s="340"/>
      <c r="AS3290" s="340"/>
      <c r="AX3290" s="340"/>
      <c r="BB3290" s="340"/>
      <c r="BD3290" s="339"/>
    </row>
    <row r="3291" spans="7:56" s="338" customFormat="1">
      <c r="G3291" s="340"/>
      <c r="L3291" s="340"/>
      <c r="P3291" s="340"/>
      <c r="U3291" s="340"/>
      <c r="V3291" s="340"/>
      <c r="Z3291" s="340"/>
      <c r="AE3291" s="340"/>
      <c r="AI3291" s="340"/>
      <c r="AN3291" s="340"/>
      <c r="AO3291" s="340"/>
      <c r="AS3291" s="340"/>
      <c r="AX3291" s="340"/>
      <c r="BB3291" s="340"/>
      <c r="BD3291" s="339"/>
    </row>
    <row r="3292" spans="7:56" s="338" customFormat="1">
      <c r="G3292" s="340"/>
      <c r="L3292" s="340"/>
      <c r="P3292" s="340"/>
      <c r="U3292" s="340"/>
      <c r="V3292" s="340"/>
      <c r="Z3292" s="340"/>
      <c r="AE3292" s="340"/>
      <c r="AI3292" s="340"/>
      <c r="AN3292" s="340"/>
      <c r="AO3292" s="340"/>
      <c r="AS3292" s="340"/>
      <c r="AX3292" s="340"/>
      <c r="BB3292" s="340"/>
      <c r="BD3292" s="339"/>
    </row>
    <row r="3293" spans="7:56" s="338" customFormat="1">
      <c r="G3293" s="340"/>
      <c r="L3293" s="340"/>
      <c r="P3293" s="340"/>
      <c r="U3293" s="340"/>
      <c r="V3293" s="340"/>
      <c r="Z3293" s="340"/>
      <c r="AE3293" s="340"/>
      <c r="AI3293" s="340"/>
      <c r="AN3293" s="340"/>
      <c r="AO3293" s="340"/>
      <c r="AS3293" s="340"/>
      <c r="AX3293" s="340"/>
      <c r="BB3293" s="340"/>
      <c r="BD3293" s="339"/>
    </row>
    <row r="3294" spans="7:56" s="338" customFormat="1">
      <c r="G3294" s="340"/>
      <c r="L3294" s="340"/>
      <c r="P3294" s="340"/>
      <c r="U3294" s="340"/>
      <c r="V3294" s="340"/>
      <c r="Z3294" s="340"/>
      <c r="AE3294" s="340"/>
      <c r="AI3294" s="340"/>
      <c r="AN3294" s="340"/>
      <c r="AO3294" s="340"/>
      <c r="AS3294" s="340"/>
      <c r="AX3294" s="340"/>
      <c r="BB3294" s="340"/>
      <c r="BD3294" s="339"/>
    </row>
    <row r="3295" spans="7:56" s="338" customFormat="1">
      <c r="G3295" s="340"/>
      <c r="L3295" s="340"/>
      <c r="P3295" s="340"/>
      <c r="U3295" s="340"/>
      <c r="V3295" s="340"/>
      <c r="Z3295" s="340"/>
      <c r="AE3295" s="340"/>
      <c r="AI3295" s="340"/>
      <c r="AN3295" s="340"/>
      <c r="AO3295" s="340"/>
      <c r="AS3295" s="340"/>
      <c r="AX3295" s="340"/>
      <c r="BB3295" s="340"/>
      <c r="BD3295" s="339"/>
    </row>
    <row r="3296" spans="7:56" s="338" customFormat="1">
      <c r="G3296" s="340"/>
      <c r="L3296" s="340"/>
      <c r="P3296" s="340"/>
      <c r="U3296" s="340"/>
      <c r="V3296" s="340"/>
      <c r="Z3296" s="340"/>
      <c r="AE3296" s="340"/>
      <c r="AI3296" s="340"/>
      <c r="AN3296" s="340"/>
      <c r="AO3296" s="340"/>
      <c r="AS3296" s="340"/>
      <c r="AX3296" s="340"/>
      <c r="BB3296" s="340"/>
      <c r="BD3296" s="339"/>
    </row>
    <row r="3297" spans="7:56" s="338" customFormat="1">
      <c r="G3297" s="340"/>
      <c r="L3297" s="340"/>
      <c r="P3297" s="340"/>
      <c r="U3297" s="340"/>
      <c r="V3297" s="340"/>
      <c r="Z3297" s="340"/>
      <c r="AE3297" s="340"/>
      <c r="AI3297" s="340"/>
      <c r="AN3297" s="340"/>
      <c r="AO3297" s="340"/>
      <c r="AS3297" s="340"/>
      <c r="AX3297" s="340"/>
      <c r="BB3297" s="340"/>
      <c r="BD3297" s="339"/>
    </row>
    <row r="3298" spans="7:56" s="338" customFormat="1">
      <c r="G3298" s="340"/>
      <c r="L3298" s="340"/>
      <c r="P3298" s="340"/>
      <c r="U3298" s="340"/>
      <c r="V3298" s="340"/>
      <c r="Z3298" s="340"/>
      <c r="AE3298" s="340"/>
      <c r="AI3298" s="340"/>
      <c r="AN3298" s="340"/>
      <c r="AO3298" s="340"/>
      <c r="AS3298" s="340"/>
      <c r="AX3298" s="340"/>
      <c r="BB3298" s="340"/>
      <c r="BD3298" s="339"/>
    </row>
    <row r="3299" spans="7:56" s="338" customFormat="1">
      <c r="G3299" s="340"/>
      <c r="L3299" s="340"/>
      <c r="P3299" s="340"/>
      <c r="U3299" s="340"/>
      <c r="V3299" s="340"/>
      <c r="Z3299" s="340"/>
      <c r="AE3299" s="340"/>
      <c r="AI3299" s="340"/>
      <c r="AN3299" s="340"/>
      <c r="AO3299" s="340"/>
      <c r="AS3299" s="340"/>
      <c r="AX3299" s="340"/>
      <c r="BB3299" s="340"/>
      <c r="BD3299" s="339"/>
    </row>
    <row r="3300" spans="7:56" s="338" customFormat="1">
      <c r="G3300" s="340"/>
      <c r="L3300" s="340"/>
      <c r="P3300" s="340"/>
      <c r="U3300" s="340"/>
      <c r="V3300" s="340"/>
      <c r="Z3300" s="340"/>
      <c r="AE3300" s="340"/>
      <c r="AI3300" s="340"/>
      <c r="AN3300" s="340"/>
      <c r="AO3300" s="340"/>
      <c r="AS3300" s="340"/>
      <c r="AX3300" s="340"/>
      <c r="BB3300" s="340"/>
      <c r="BD3300" s="339"/>
    </row>
    <row r="3301" spans="7:56" s="338" customFormat="1">
      <c r="G3301" s="340"/>
      <c r="L3301" s="340"/>
      <c r="P3301" s="340"/>
      <c r="U3301" s="340"/>
      <c r="V3301" s="340"/>
      <c r="Z3301" s="340"/>
      <c r="AE3301" s="340"/>
      <c r="AI3301" s="340"/>
      <c r="AN3301" s="340"/>
      <c r="AO3301" s="340"/>
      <c r="AS3301" s="340"/>
      <c r="AX3301" s="340"/>
      <c r="BB3301" s="340"/>
      <c r="BD3301" s="339"/>
    </row>
    <row r="3302" spans="7:56" s="338" customFormat="1">
      <c r="G3302" s="340"/>
      <c r="L3302" s="340"/>
      <c r="P3302" s="340"/>
      <c r="U3302" s="340"/>
      <c r="V3302" s="340"/>
      <c r="Z3302" s="340"/>
      <c r="AE3302" s="340"/>
      <c r="AI3302" s="340"/>
      <c r="AN3302" s="340"/>
      <c r="AO3302" s="340"/>
      <c r="AS3302" s="340"/>
      <c r="AX3302" s="340"/>
      <c r="BB3302" s="340"/>
      <c r="BD3302" s="339"/>
    </row>
    <row r="3303" spans="7:56" s="338" customFormat="1">
      <c r="G3303" s="340"/>
      <c r="L3303" s="340"/>
      <c r="P3303" s="340"/>
      <c r="U3303" s="340"/>
      <c r="V3303" s="340"/>
      <c r="Z3303" s="340"/>
      <c r="AE3303" s="340"/>
      <c r="AI3303" s="340"/>
      <c r="AN3303" s="340"/>
      <c r="AO3303" s="340"/>
      <c r="AS3303" s="340"/>
      <c r="AX3303" s="340"/>
      <c r="BB3303" s="340"/>
      <c r="BD3303" s="339"/>
    </row>
    <row r="3304" spans="7:56" s="338" customFormat="1">
      <c r="G3304" s="340"/>
      <c r="L3304" s="340"/>
      <c r="P3304" s="340"/>
      <c r="U3304" s="340"/>
      <c r="V3304" s="340"/>
      <c r="Z3304" s="340"/>
      <c r="AE3304" s="340"/>
      <c r="AI3304" s="340"/>
      <c r="AN3304" s="340"/>
      <c r="AO3304" s="340"/>
      <c r="AS3304" s="340"/>
      <c r="AX3304" s="340"/>
      <c r="BB3304" s="340"/>
      <c r="BD3304" s="339"/>
    </row>
    <row r="3305" spans="7:56" s="338" customFormat="1">
      <c r="G3305" s="340"/>
      <c r="L3305" s="340"/>
      <c r="P3305" s="340"/>
      <c r="U3305" s="340"/>
      <c r="V3305" s="340"/>
      <c r="Z3305" s="340"/>
      <c r="AE3305" s="340"/>
      <c r="AI3305" s="340"/>
      <c r="AN3305" s="340"/>
      <c r="AO3305" s="340"/>
      <c r="AS3305" s="340"/>
      <c r="AX3305" s="340"/>
      <c r="BB3305" s="340"/>
      <c r="BD3305" s="339"/>
    </row>
    <row r="3306" spans="7:56" s="338" customFormat="1">
      <c r="G3306" s="340"/>
      <c r="L3306" s="340"/>
      <c r="P3306" s="340"/>
      <c r="U3306" s="340"/>
      <c r="V3306" s="340"/>
      <c r="Z3306" s="340"/>
      <c r="AE3306" s="340"/>
      <c r="AI3306" s="340"/>
      <c r="AN3306" s="340"/>
      <c r="AO3306" s="340"/>
      <c r="AS3306" s="340"/>
      <c r="AX3306" s="340"/>
      <c r="BB3306" s="340"/>
      <c r="BD3306" s="339"/>
    </row>
    <row r="3307" spans="7:56" s="338" customFormat="1">
      <c r="G3307" s="340"/>
      <c r="L3307" s="340"/>
      <c r="P3307" s="340"/>
      <c r="U3307" s="340"/>
      <c r="V3307" s="340"/>
      <c r="Z3307" s="340"/>
      <c r="AE3307" s="340"/>
      <c r="AI3307" s="340"/>
      <c r="AN3307" s="340"/>
      <c r="AO3307" s="340"/>
      <c r="AS3307" s="340"/>
      <c r="AX3307" s="340"/>
      <c r="BB3307" s="340"/>
      <c r="BD3307" s="339"/>
    </row>
    <row r="3308" spans="7:56" s="338" customFormat="1">
      <c r="G3308" s="340"/>
      <c r="L3308" s="340"/>
      <c r="P3308" s="340"/>
      <c r="U3308" s="340"/>
      <c r="V3308" s="340"/>
      <c r="Z3308" s="340"/>
      <c r="AE3308" s="340"/>
      <c r="AI3308" s="340"/>
      <c r="AN3308" s="340"/>
      <c r="AO3308" s="340"/>
      <c r="AS3308" s="340"/>
      <c r="AX3308" s="340"/>
      <c r="BB3308" s="340"/>
      <c r="BD3308" s="339"/>
    </row>
    <row r="3309" spans="7:56" s="338" customFormat="1">
      <c r="G3309" s="340"/>
      <c r="L3309" s="340"/>
      <c r="P3309" s="340"/>
      <c r="U3309" s="340"/>
      <c r="V3309" s="340"/>
      <c r="Z3309" s="340"/>
      <c r="AE3309" s="340"/>
      <c r="AI3309" s="340"/>
      <c r="AN3309" s="340"/>
      <c r="AO3309" s="340"/>
      <c r="AS3309" s="340"/>
      <c r="AX3309" s="340"/>
      <c r="BB3309" s="340"/>
      <c r="BD3309" s="339"/>
    </row>
    <row r="3310" spans="7:56" s="338" customFormat="1">
      <c r="G3310" s="340"/>
      <c r="L3310" s="340"/>
      <c r="P3310" s="340"/>
      <c r="U3310" s="340"/>
      <c r="V3310" s="340"/>
      <c r="Z3310" s="340"/>
      <c r="AE3310" s="340"/>
      <c r="AI3310" s="340"/>
      <c r="AN3310" s="340"/>
      <c r="AO3310" s="340"/>
      <c r="AS3310" s="340"/>
      <c r="AX3310" s="340"/>
      <c r="BB3310" s="340"/>
      <c r="BD3310" s="339"/>
    </row>
    <row r="3311" spans="7:56" s="338" customFormat="1">
      <c r="G3311" s="340"/>
      <c r="L3311" s="340"/>
      <c r="P3311" s="340"/>
      <c r="U3311" s="340"/>
      <c r="V3311" s="340"/>
      <c r="Z3311" s="340"/>
      <c r="AE3311" s="340"/>
      <c r="AI3311" s="340"/>
      <c r="AN3311" s="340"/>
      <c r="AO3311" s="340"/>
      <c r="AS3311" s="340"/>
      <c r="AX3311" s="340"/>
      <c r="BB3311" s="340"/>
      <c r="BD3311" s="339"/>
    </row>
    <row r="3312" spans="7:56" s="338" customFormat="1">
      <c r="G3312" s="340"/>
      <c r="L3312" s="340"/>
      <c r="P3312" s="340"/>
      <c r="U3312" s="340"/>
      <c r="V3312" s="340"/>
      <c r="Z3312" s="340"/>
      <c r="AE3312" s="340"/>
      <c r="AI3312" s="340"/>
      <c r="AN3312" s="340"/>
      <c r="AO3312" s="340"/>
      <c r="AS3312" s="340"/>
      <c r="AX3312" s="340"/>
      <c r="BB3312" s="340"/>
      <c r="BD3312" s="339"/>
    </row>
    <row r="3313" spans="7:56" s="338" customFormat="1">
      <c r="G3313" s="340"/>
      <c r="L3313" s="340"/>
      <c r="P3313" s="340"/>
      <c r="U3313" s="340"/>
      <c r="V3313" s="340"/>
      <c r="Z3313" s="340"/>
      <c r="AE3313" s="340"/>
      <c r="AI3313" s="340"/>
      <c r="AN3313" s="340"/>
      <c r="AO3313" s="340"/>
      <c r="AS3313" s="340"/>
      <c r="AX3313" s="340"/>
      <c r="BB3313" s="340"/>
      <c r="BD3313" s="339"/>
    </row>
    <row r="3314" spans="7:56" s="338" customFormat="1">
      <c r="G3314" s="340"/>
      <c r="L3314" s="340"/>
      <c r="P3314" s="340"/>
      <c r="U3314" s="340"/>
      <c r="V3314" s="340"/>
      <c r="Z3314" s="340"/>
      <c r="AE3314" s="340"/>
      <c r="AI3314" s="340"/>
      <c r="AN3314" s="340"/>
      <c r="AO3314" s="340"/>
      <c r="AS3314" s="340"/>
      <c r="AX3314" s="340"/>
      <c r="BB3314" s="340"/>
      <c r="BD3314" s="339"/>
    </row>
    <row r="3315" spans="7:56" s="338" customFormat="1">
      <c r="G3315" s="340"/>
      <c r="L3315" s="340"/>
      <c r="P3315" s="340"/>
      <c r="U3315" s="340"/>
      <c r="V3315" s="340"/>
      <c r="Z3315" s="340"/>
      <c r="AE3315" s="340"/>
      <c r="AI3315" s="340"/>
      <c r="AN3315" s="340"/>
      <c r="AO3315" s="340"/>
      <c r="AS3315" s="340"/>
      <c r="AX3315" s="340"/>
      <c r="BB3315" s="340"/>
      <c r="BD3315" s="339"/>
    </row>
    <row r="3316" spans="7:56" s="338" customFormat="1">
      <c r="G3316" s="340"/>
      <c r="L3316" s="340"/>
      <c r="P3316" s="340"/>
      <c r="U3316" s="340"/>
      <c r="V3316" s="340"/>
      <c r="Z3316" s="340"/>
      <c r="AE3316" s="340"/>
      <c r="AI3316" s="340"/>
      <c r="AN3316" s="340"/>
      <c r="AO3316" s="340"/>
      <c r="AS3316" s="340"/>
      <c r="AX3316" s="340"/>
      <c r="BB3316" s="340"/>
      <c r="BD3316" s="339"/>
    </row>
    <row r="3317" spans="7:56" s="338" customFormat="1">
      <c r="G3317" s="340"/>
      <c r="L3317" s="340"/>
      <c r="P3317" s="340"/>
      <c r="U3317" s="340"/>
      <c r="V3317" s="340"/>
      <c r="Z3317" s="340"/>
      <c r="AE3317" s="340"/>
      <c r="AI3317" s="340"/>
      <c r="AN3317" s="340"/>
      <c r="AO3317" s="340"/>
      <c r="AS3317" s="340"/>
      <c r="AX3317" s="340"/>
      <c r="BB3317" s="340"/>
      <c r="BD3317" s="339"/>
    </row>
    <row r="3318" spans="7:56" s="338" customFormat="1">
      <c r="G3318" s="340"/>
      <c r="L3318" s="340"/>
      <c r="P3318" s="340"/>
      <c r="U3318" s="340"/>
      <c r="V3318" s="340"/>
      <c r="Z3318" s="340"/>
      <c r="AE3318" s="340"/>
      <c r="AI3318" s="340"/>
      <c r="AN3318" s="340"/>
      <c r="AO3318" s="340"/>
      <c r="AS3318" s="340"/>
      <c r="AX3318" s="340"/>
      <c r="BB3318" s="340"/>
      <c r="BD3318" s="339"/>
    </row>
    <row r="3319" spans="7:56" s="338" customFormat="1">
      <c r="G3319" s="340"/>
      <c r="L3319" s="340"/>
      <c r="P3319" s="340"/>
      <c r="U3319" s="340"/>
      <c r="V3319" s="340"/>
      <c r="Z3319" s="340"/>
      <c r="AE3319" s="340"/>
      <c r="AI3319" s="340"/>
      <c r="AN3319" s="340"/>
      <c r="AO3319" s="340"/>
      <c r="AS3319" s="340"/>
      <c r="AX3319" s="340"/>
      <c r="BB3319" s="340"/>
      <c r="BD3319" s="339"/>
    </row>
    <row r="3320" spans="7:56" s="338" customFormat="1">
      <c r="G3320" s="340"/>
      <c r="L3320" s="340"/>
      <c r="P3320" s="340"/>
      <c r="U3320" s="340"/>
      <c r="V3320" s="340"/>
      <c r="Z3320" s="340"/>
      <c r="AE3320" s="340"/>
      <c r="AI3320" s="340"/>
      <c r="AN3320" s="340"/>
      <c r="AO3320" s="340"/>
      <c r="AS3320" s="340"/>
      <c r="AX3320" s="340"/>
      <c r="BB3320" s="340"/>
      <c r="BD3320" s="339"/>
    </row>
    <row r="3321" spans="7:56" s="338" customFormat="1">
      <c r="G3321" s="340"/>
      <c r="L3321" s="340"/>
      <c r="P3321" s="340"/>
      <c r="U3321" s="340"/>
      <c r="V3321" s="340"/>
      <c r="Z3321" s="340"/>
      <c r="AE3321" s="340"/>
      <c r="AI3321" s="340"/>
      <c r="AN3321" s="340"/>
      <c r="AO3321" s="340"/>
      <c r="AS3321" s="340"/>
      <c r="AX3321" s="340"/>
      <c r="BB3321" s="340"/>
      <c r="BD3321" s="339"/>
    </row>
    <row r="3322" spans="7:56" s="338" customFormat="1">
      <c r="G3322" s="340"/>
      <c r="L3322" s="340"/>
      <c r="P3322" s="340"/>
      <c r="U3322" s="340"/>
      <c r="V3322" s="340"/>
      <c r="Z3322" s="340"/>
      <c r="AE3322" s="340"/>
      <c r="AI3322" s="340"/>
      <c r="AN3322" s="340"/>
      <c r="AO3322" s="340"/>
      <c r="AS3322" s="340"/>
      <c r="AX3322" s="340"/>
      <c r="BB3322" s="340"/>
      <c r="BD3322" s="339"/>
    </row>
    <row r="3323" spans="7:56" s="338" customFormat="1">
      <c r="G3323" s="340"/>
      <c r="L3323" s="340"/>
      <c r="P3323" s="340"/>
      <c r="U3323" s="340"/>
      <c r="V3323" s="340"/>
      <c r="Z3323" s="340"/>
      <c r="AE3323" s="340"/>
      <c r="AI3323" s="340"/>
      <c r="AN3323" s="340"/>
      <c r="AO3323" s="340"/>
      <c r="AS3323" s="340"/>
      <c r="AX3323" s="340"/>
      <c r="BB3323" s="340"/>
      <c r="BD3323" s="339"/>
    </row>
    <row r="3324" spans="7:56" s="338" customFormat="1">
      <c r="G3324" s="340"/>
      <c r="L3324" s="340"/>
      <c r="P3324" s="340"/>
      <c r="U3324" s="340"/>
      <c r="V3324" s="340"/>
      <c r="Z3324" s="340"/>
      <c r="AE3324" s="340"/>
      <c r="AI3324" s="340"/>
      <c r="AN3324" s="340"/>
      <c r="AO3324" s="340"/>
      <c r="AS3324" s="340"/>
      <c r="AX3324" s="340"/>
      <c r="BB3324" s="340"/>
      <c r="BD3324" s="339"/>
    </row>
    <row r="3325" spans="7:56" s="338" customFormat="1">
      <c r="G3325" s="340"/>
      <c r="L3325" s="340"/>
      <c r="P3325" s="340"/>
      <c r="U3325" s="340"/>
      <c r="V3325" s="340"/>
      <c r="Z3325" s="340"/>
      <c r="AE3325" s="340"/>
      <c r="AI3325" s="340"/>
      <c r="AN3325" s="340"/>
      <c r="AO3325" s="340"/>
      <c r="AS3325" s="340"/>
      <c r="AX3325" s="340"/>
      <c r="BB3325" s="340"/>
      <c r="BD3325" s="339"/>
    </row>
    <row r="3326" spans="7:56" s="338" customFormat="1">
      <c r="G3326" s="340"/>
      <c r="L3326" s="340"/>
      <c r="P3326" s="340"/>
      <c r="U3326" s="340"/>
      <c r="V3326" s="340"/>
      <c r="Z3326" s="340"/>
      <c r="AE3326" s="340"/>
      <c r="AI3326" s="340"/>
      <c r="AN3326" s="340"/>
      <c r="AO3326" s="340"/>
      <c r="AS3326" s="340"/>
      <c r="AX3326" s="340"/>
      <c r="BB3326" s="340"/>
      <c r="BD3326" s="339"/>
    </row>
    <row r="3327" spans="7:56" s="338" customFormat="1">
      <c r="G3327" s="340"/>
      <c r="L3327" s="340"/>
      <c r="P3327" s="340"/>
      <c r="U3327" s="340"/>
      <c r="V3327" s="340"/>
      <c r="Z3327" s="340"/>
      <c r="AE3327" s="340"/>
      <c r="AI3327" s="340"/>
      <c r="AN3327" s="340"/>
      <c r="AO3327" s="340"/>
      <c r="AS3327" s="340"/>
      <c r="AX3327" s="340"/>
      <c r="BB3327" s="340"/>
      <c r="BD3327" s="339"/>
    </row>
    <row r="3328" spans="7:56" s="338" customFormat="1">
      <c r="G3328" s="340"/>
      <c r="L3328" s="340"/>
      <c r="P3328" s="340"/>
      <c r="U3328" s="340"/>
      <c r="V3328" s="340"/>
      <c r="Z3328" s="340"/>
      <c r="AE3328" s="340"/>
      <c r="AI3328" s="340"/>
      <c r="AN3328" s="340"/>
      <c r="AO3328" s="340"/>
      <c r="AS3328" s="340"/>
      <c r="AX3328" s="340"/>
      <c r="BB3328" s="340"/>
      <c r="BD3328" s="339"/>
    </row>
    <row r="3329" spans="7:56" s="338" customFormat="1">
      <c r="G3329" s="340"/>
      <c r="L3329" s="340"/>
      <c r="P3329" s="340"/>
      <c r="U3329" s="340"/>
      <c r="V3329" s="340"/>
      <c r="Z3329" s="340"/>
      <c r="AE3329" s="340"/>
      <c r="AI3329" s="340"/>
      <c r="AN3329" s="340"/>
      <c r="AO3329" s="340"/>
      <c r="AS3329" s="340"/>
      <c r="AX3329" s="340"/>
      <c r="BB3329" s="340"/>
      <c r="BD3329" s="339"/>
    </row>
    <row r="3330" spans="7:56" s="338" customFormat="1">
      <c r="G3330" s="340"/>
      <c r="L3330" s="340"/>
      <c r="P3330" s="340"/>
      <c r="U3330" s="340"/>
      <c r="V3330" s="340"/>
      <c r="Z3330" s="340"/>
      <c r="AE3330" s="340"/>
      <c r="AI3330" s="340"/>
      <c r="AN3330" s="340"/>
      <c r="AO3330" s="340"/>
      <c r="AS3330" s="340"/>
      <c r="AX3330" s="340"/>
      <c r="BB3330" s="340"/>
      <c r="BD3330" s="339"/>
    </row>
    <row r="3331" spans="7:56" s="338" customFormat="1">
      <c r="G3331" s="340"/>
      <c r="L3331" s="340"/>
      <c r="P3331" s="340"/>
      <c r="U3331" s="340"/>
      <c r="V3331" s="340"/>
      <c r="Z3331" s="340"/>
      <c r="AE3331" s="340"/>
      <c r="AI3331" s="340"/>
      <c r="AN3331" s="340"/>
      <c r="AO3331" s="340"/>
      <c r="AS3331" s="340"/>
      <c r="AX3331" s="340"/>
      <c r="BB3331" s="340"/>
      <c r="BD3331" s="339"/>
    </row>
    <row r="3332" spans="7:56" s="338" customFormat="1">
      <c r="G3332" s="340"/>
      <c r="L3332" s="340"/>
      <c r="P3332" s="340"/>
      <c r="U3332" s="340"/>
      <c r="V3332" s="340"/>
      <c r="Z3332" s="340"/>
      <c r="AE3332" s="340"/>
      <c r="AI3332" s="340"/>
      <c r="AN3332" s="340"/>
      <c r="AO3332" s="340"/>
      <c r="AS3332" s="340"/>
      <c r="AX3332" s="340"/>
      <c r="BB3332" s="340"/>
      <c r="BD3332" s="339"/>
    </row>
    <row r="3333" spans="7:56" s="338" customFormat="1">
      <c r="G3333" s="340"/>
      <c r="L3333" s="340"/>
      <c r="P3333" s="340"/>
      <c r="U3333" s="340"/>
      <c r="V3333" s="340"/>
      <c r="Z3333" s="340"/>
      <c r="AE3333" s="340"/>
      <c r="AI3333" s="340"/>
      <c r="AN3333" s="340"/>
      <c r="AO3333" s="340"/>
      <c r="AS3333" s="340"/>
      <c r="AX3333" s="340"/>
      <c r="BB3333" s="340"/>
      <c r="BD3333" s="339"/>
    </row>
    <row r="3334" spans="7:56" s="338" customFormat="1">
      <c r="G3334" s="340"/>
      <c r="L3334" s="340"/>
      <c r="P3334" s="340"/>
      <c r="U3334" s="340"/>
      <c r="V3334" s="340"/>
      <c r="Z3334" s="340"/>
      <c r="AE3334" s="340"/>
      <c r="AI3334" s="340"/>
      <c r="AN3334" s="340"/>
      <c r="AO3334" s="340"/>
      <c r="AS3334" s="340"/>
      <c r="AX3334" s="340"/>
      <c r="BB3334" s="340"/>
      <c r="BD3334" s="339"/>
    </row>
    <row r="3335" spans="7:56" s="338" customFormat="1">
      <c r="G3335" s="340"/>
      <c r="L3335" s="340"/>
      <c r="P3335" s="340"/>
      <c r="U3335" s="340"/>
      <c r="V3335" s="340"/>
      <c r="Z3335" s="340"/>
      <c r="AE3335" s="340"/>
      <c r="AI3335" s="340"/>
      <c r="AN3335" s="340"/>
      <c r="AO3335" s="340"/>
      <c r="AS3335" s="340"/>
      <c r="AX3335" s="340"/>
      <c r="BB3335" s="340"/>
      <c r="BD3335" s="339"/>
    </row>
    <row r="3336" spans="7:56" s="338" customFormat="1">
      <c r="G3336" s="340"/>
      <c r="L3336" s="340"/>
      <c r="P3336" s="340"/>
      <c r="U3336" s="340"/>
      <c r="V3336" s="340"/>
      <c r="Z3336" s="340"/>
      <c r="AE3336" s="340"/>
      <c r="AI3336" s="340"/>
      <c r="AN3336" s="340"/>
      <c r="AO3336" s="340"/>
      <c r="AS3336" s="340"/>
      <c r="AX3336" s="340"/>
      <c r="BB3336" s="340"/>
      <c r="BD3336" s="339"/>
    </row>
    <row r="3337" spans="7:56" s="338" customFormat="1">
      <c r="G3337" s="340"/>
      <c r="L3337" s="340"/>
      <c r="P3337" s="340"/>
      <c r="U3337" s="340"/>
      <c r="V3337" s="340"/>
      <c r="Z3337" s="340"/>
      <c r="AE3337" s="340"/>
      <c r="AI3337" s="340"/>
      <c r="AN3337" s="340"/>
      <c r="AO3337" s="340"/>
      <c r="AS3337" s="340"/>
      <c r="AX3337" s="340"/>
      <c r="BB3337" s="340"/>
      <c r="BD3337" s="339"/>
    </row>
    <row r="3338" spans="7:56" s="338" customFormat="1">
      <c r="G3338" s="340"/>
      <c r="L3338" s="340"/>
      <c r="P3338" s="340"/>
      <c r="U3338" s="340"/>
      <c r="V3338" s="340"/>
      <c r="Z3338" s="340"/>
      <c r="AE3338" s="340"/>
      <c r="AI3338" s="340"/>
      <c r="AN3338" s="340"/>
      <c r="AO3338" s="340"/>
      <c r="AS3338" s="340"/>
      <c r="AX3338" s="340"/>
      <c r="BB3338" s="340"/>
      <c r="BD3338" s="339"/>
    </row>
    <row r="3339" spans="7:56" s="338" customFormat="1">
      <c r="G3339" s="340"/>
      <c r="L3339" s="340"/>
      <c r="P3339" s="340"/>
      <c r="U3339" s="340"/>
      <c r="V3339" s="340"/>
      <c r="Z3339" s="340"/>
      <c r="AE3339" s="340"/>
      <c r="AI3339" s="340"/>
      <c r="AN3339" s="340"/>
      <c r="AO3339" s="340"/>
      <c r="AS3339" s="340"/>
      <c r="AX3339" s="340"/>
      <c r="BB3339" s="340"/>
      <c r="BD3339" s="339"/>
    </row>
    <row r="3340" spans="7:56" s="338" customFormat="1">
      <c r="G3340" s="340"/>
      <c r="L3340" s="340"/>
      <c r="P3340" s="340"/>
      <c r="U3340" s="340"/>
      <c r="V3340" s="340"/>
      <c r="Z3340" s="340"/>
      <c r="AE3340" s="340"/>
      <c r="AI3340" s="340"/>
      <c r="AN3340" s="340"/>
      <c r="AO3340" s="340"/>
      <c r="AS3340" s="340"/>
      <c r="AX3340" s="340"/>
      <c r="BB3340" s="340"/>
      <c r="BD3340" s="339"/>
    </row>
    <row r="3341" spans="7:56" s="338" customFormat="1">
      <c r="G3341" s="340"/>
      <c r="L3341" s="340"/>
      <c r="P3341" s="340"/>
      <c r="U3341" s="340"/>
      <c r="V3341" s="340"/>
      <c r="Z3341" s="340"/>
      <c r="AE3341" s="340"/>
      <c r="AI3341" s="340"/>
      <c r="AN3341" s="340"/>
      <c r="AO3341" s="340"/>
      <c r="AS3341" s="340"/>
      <c r="AX3341" s="340"/>
      <c r="BB3341" s="340"/>
      <c r="BD3341" s="339"/>
    </row>
    <row r="3342" spans="7:56" s="338" customFormat="1">
      <c r="G3342" s="340"/>
      <c r="L3342" s="340"/>
      <c r="P3342" s="340"/>
      <c r="U3342" s="340"/>
      <c r="V3342" s="340"/>
      <c r="Z3342" s="340"/>
      <c r="AE3342" s="340"/>
      <c r="AI3342" s="340"/>
      <c r="AN3342" s="340"/>
      <c r="AO3342" s="340"/>
      <c r="AS3342" s="340"/>
      <c r="AX3342" s="340"/>
      <c r="BB3342" s="340"/>
      <c r="BD3342" s="339"/>
    </row>
    <row r="3343" spans="7:56" s="338" customFormat="1">
      <c r="G3343" s="340"/>
      <c r="L3343" s="340"/>
      <c r="P3343" s="340"/>
      <c r="U3343" s="340"/>
      <c r="V3343" s="340"/>
      <c r="Z3343" s="340"/>
      <c r="AE3343" s="340"/>
      <c r="AI3343" s="340"/>
      <c r="AN3343" s="340"/>
      <c r="AO3343" s="340"/>
      <c r="AS3343" s="340"/>
      <c r="AX3343" s="340"/>
      <c r="BB3343" s="340"/>
      <c r="BD3343" s="339"/>
    </row>
    <row r="3344" spans="7:56" s="338" customFormat="1">
      <c r="G3344" s="340"/>
      <c r="L3344" s="340"/>
      <c r="P3344" s="340"/>
      <c r="U3344" s="340"/>
      <c r="V3344" s="340"/>
      <c r="Z3344" s="340"/>
      <c r="AE3344" s="340"/>
      <c r="AI3344" s="340"/>
      <c r="AN3344" s="340"/>
      <c r="AO3344" s="340"/>
      <c r="AS3344" s="340"/>
      <c r="AX3344" s="340"/>
      <c r="BB3344" s="340"/>
      <c r="BD3344" s="339"/>
    </row>
    <row r="3345" spans="7:56" s="338" customFormat="1">
      <c r="G3345" s="340"/>
      <c r="L3345" s="340"/>
      <c r="P3345" s="340"/>
      <c r="U3345" s="340"/>
      <c r="V3345" s="340"/>
      <c r="Z3345" s="340"/>
      <c r="AE3345" s="340"/>
      <c r="AI3345" s="340"/>
      <c r="AN3345" s="340"/>
      <c r="AO3345" s="340"/>
      <c r="AS3345" s="340"/>
      <c r="AX3345" s="340"/>
      <c r="BB3345" s="340"/>
      <c r="BD3345" s="339"/>
    </row>
    <row r="3346" spans="7:56" s="338" customFormat="1">
      <c r="G3346" s="340"/>
      <c r="L3346" s="340"/>
      <c r="P3346" s="340"/>
      <c r="U3346" s="340"/>
      <c r="V3346" s="340"/>
      <c r="Z3346" s="340"/>
      <c r="AE3346" s="340"/>
      <c r="AI3346" s="340"/>
      <c r="AN3346" s="340"/>
      <c r="AO3346" s="340"/>
      <c r="AS3346" s="340"/>
      <c r="AX3346" s="340"/>
      <c r="BB3346" s="340"/>
      <c r="BD3346" s="339"/>
    </row>
    <row r="3347" spans="7:56" s="338" customFormat="1">
      <c r="G3347" s="340"/>
      <c r="L3347" s="340"/>
      <c r="P3347" s="340"/>
      <c r="U3347" s="340"/>
      <c r="V3347" s="340"/>
      <c r="Z3347" s="340"/>
      <c r="AE3347" s="340"/>
      <c r="AI3347" s="340"/>
      <c r="AN3347" s="340"/>
      <c r="AO3347" s="340"/>
      <c r="AS3347" s="340"/>
      <c r="AX3347" s="340"/>
      <c r="BB3347" s="340"/>
      <c r="BD3347" s="339"/>
    </row>
    <row r="3348" spans="7:56" s="338" customFormat="1">
      <c r="G3348" s="340"/>
      <c r="L3348" s="340"/>
      <c r="P3348" s="340"/>
      <c r="U3348" s="340"/>
      <c r="V3348" s="340"/>
      <c r="Z3348" s="340"/>
      <c r="AE3348" s="340"/>
      <c r="AI3348" s="340"/>
      <c r="AN3348" s="340"/>
      <c r="AO3348" s="340"/>
      <c r="AS3348" s="340"/>
      <c r="AX3348" s="340"/>
      <c r="BB3348" s="340"/>
      <c r="BD3348" s="339"/>
    </row>
    <row r="3349" spans="7:56" s="338" customFormat="1">
      <c r="G3349" s="340"/>
      <c r="L3349" s="340"/>
      <c r="P3349" s="340"/>
      <c r="U3349" s="340"/>
      <c r="V3349" s="340"/>
      <c r="Z3349" s="340"/>
      <c r="AE3349" s="340"/>
      <c r="AI3349" s="340"/>
      <c r="AN3349" s="340"/>
      <c r="AO3349" s="340"/>
      <c r="AS3349" s="340"/>
      <c r="AX3349" s="340"/>
      <c r="BB3349" s="340"/>
      <c r="BD3349" s="339"/>
    </row>
    <row r="3350" spans="7:56" s="338" customFormat="1">
      <c r="G3350" s="340"/>
      <c r="L3350" s="340"/>
      <c r="P3350" s="340"/>
      <c r="U3350" s="340"/>
      <c r="V3350" s="340"/>
      <c r="Z3350" s="340"/>
      <c r="AE3350" s="340"/>
      <c r="AI3350" s="340"/>
      <c r="AN3350" s="340"/>
      <c r="AO3350" s="340"/>
      <c r="AS3350" s="340"/>
      <c r="AX3350" s="340"/>
      <c r="BB3350" s="340"/>
      <c r="BD3350" s="339"/>
    </row>
    <row r="3351" spans="7:56" s="338" customFormat="1">
      <c r="G3351" s="340"/>
      <c r="L3351" s="340"/>
      <c r="P3351" s="340"/>
      <c r="U3351" s="340"/>
      <c r="V3351" s="340"/>
      <c r="Z3351" s="340"/>
      <c r="AE3351" s="340"/>
      <c r="AI3351" s="340"/>
      <c r="AN3351" s="340"/>
      <c r="AO3351" s="340"/>
      <c r="AS3351" s="340"/>
      <c r="AX3351" s="340"/>
      <c r="BB3351" s="340"/>
      <c r="BD3351" s="339"/>
    </row>
    <row r="3352" spans="7:56" s="338" customFormat="1">
      <c r="G3352" s="340"/>
      <c r="L3352" s="340"/>
      <c r="P3352" s="340"/>
      <c r="U3352" s="340"/>
      <c r="V3352" s="340"/>
      <c r="Z3352" s="340"/>
      <c r="AE3352" s="340"/>
      <c r="AI3352" s="340"/>
      <c r="AN3352" s="340"/>
      <c r="AO3352" s="340"/>
      <c r="AS3352" s="340"/>
      <c r="AX3352" s="340"/>
      <c r="BB3352" s="340"/>
      <c r="BD3352" s="339"/>
    </row>
    <row r="3353" spans="7:56" s="338" customFormat="1">
      <c r="G3353" s="340"/>
      <c r="L3353" s="340"/>
      <c r="P3353" s="340"/>
      <c r="U3353" s="340"/>
      <c r="V3353" s="340"/>
      <c r="Z3353" s="340"/>
      <c r="AE3353" s="340"/>
      <c r="AI3353" s="340"/>
      <c r="AN3353" s="340"/>
      <c r="AO3353" s="340"/>
      <c r="AS3353" s="340"/>
      <c r="AX3353" s="340"/>
      <c r="BB3353" s="340"/>
      <c r="BD3353" s="339"/>
    </row>
    <row r="3354" spans="7:56" s="338" customFormat="1">
      <c r="G3354" s="340"/>
      <c r="L3354" s="340"/>
      <c r="P3354" s="340"/>
      <c r="U3354" s="340"/>
      <c r="V3354" s="340"/>
      <c r="Z3354" s="340"/>
      <c r="AE3354" s="340"/>
      <c r="AI3354" s="340"/>
      <c r="AN3354" s="340"/>
      <c r="AO3354" s="340"/>
      <c r="AS3354" s="340"/>
      <c r="AX3354" s="340"/>
      <c r="BB3354" s="340"/>
      <c r="BD3354" s="339"/>
    </row>
    <row r="3355" spans="7:56" s="338" customFormat="1">
      <c r="G3355" s="340"/>
      <c r="L3355" s="340"/>
      <c r="P3355" s="340"/>
      <c r="U3355" s="340"/>
      <c r="V3355" s="340"/>
      <c r="Z3355" s="340"/>
      <c r="AE3355" s="340"/>
      <c r="AI3355" s="340"/>
      <c r="AN3355" s="340"/>
      <c r="AO3355" s="340"/>
      <c r="AS3355" s="340"/>
      <c r="AX3355" s="340"/>
      <c r="BB3355" s="340"/>
      <c r="BD3355" s="339"/>
    </row>
    <row r="3356" spans="7:56" s="338" customFormat="1">
      <c r="G3356" s="340"/>
      <c r="L3356" s="340"/>
      <c r="P3356" s="340"/>
      <c r="U3356" s="340"/>
      <c r="V3356" s="340"/>
      <c r="Z3356" s="340"/>
      <c r="AE3356" s="340"/>
      <c r="AI3356" s="340"/>
      <c r="AN3356" s="340"/>
      <c r="AO3356" s="340"/>
      <c r="AS3356" s="340"/>
      <c r="AX3356" s="340"/>
      <c r="BB3356" s="340"/>
      <c r="BD3356" s="339"/>
    </row>
    <row r="3357" spans="7:56" s="338" customFormat="1">
      <c r="G3357" s="340"/>
      <c r="L3357" s="340"/>
      <c r="P3357" s="340"/>
      <c r="U3357" s="340"/>
      <c r="V3357" s="340"/>
      <c r="Z3357" s="340"/>
      <c r="AE3357" s="340"/>
      <c r="AI3357" s="340"/>
      <c r="AN3357" s="340"/>
      <c r="AO3357" s="340"/>
      <c r="AS3357" s="340"/>
      <c r="AX3357" s="340"/>
      <c r="BB3357" s="340"/>
      <c r="BD3357" s="339"/>
    </row>
    <row r="3358" spans="7:56" s="338" customFormat="1">
      <c r="G3358" s="340"/>
      <c r="L3358" s="340"/>
      <c r="P3358" s="340"/>
      <c r="U3358" s="340"/>
      <c r="V3358" s="340"/>
      <c r="Z3358" s="340"/>
      <c r="AE3358" s="340"/>
      <c r="AI3358" s="340"/>
      <c r="AN3358" s="340"/>
      <c r="AO3358" s="340"/>
      <c r="AS3358" s="340"/>
      <c r="AX3358" s="340"/>
      <c r="BB3358" s="340"/>
      <c r="BD3358" s="339"/>
    </row>
    <row r="3359" spans="7:56" s="338" customFormat="1">
      <c r="G3359" s="340"/>
      <c r="L3359" s="340"/>
      <c r="P3359" s="340"/>
      <c r="U3359" s="340"/>
      <c r="V3359" s="340"/>
      <c r="Z3359" s="340"/>
      <c r="AE3359" s="340"/>
      <c r="AI3359" s="340"/>
      <c r="AN3359" s="340"/>
      <c r="AO3359" s="340"/>
      <c r="AS3359" s="340"/>
      <c r="AX3359" s="340"/>
      <c r="BB3359" s="340"/>
      <c r="BD3359" s="339"/>
    </row>
    <row r="3360" spans="7:56" s="338" customFormat="1">
      <c r="G3360" s="340"/>
      <c r="L3360" s="340"/>
      <c r="P3360" s="340"/>
      <c r="U3360" s="340"/>
      <c r="V3360" s="340"/>
      <c r="Z3360" s="340"/>
      <c r="AE3360" s="340"/>
      <c r="AI3360" s="340"/>
      <c r="AN3360" s="340"/>
      <c r="AO3360" s="340"/>
      <c r="AS3360" s="340"/>
      <c r="AX3360" s="340"/>
      <c r="BB3360" s="340"/>
      <c r="BD3360" s="339"/>
    </row>
    <row r="3361" spans="7:56" s="338" customFormat="1">
      <c r="G3361" s="340"/>
      <c r="L3361" s="340"/>
      <c r="P3361" s="340"/>
      <c r="U3361" s="340"/>
      <c r="V3361" s="340"/>
      <c r="Z3361" s="340"/>
      <c r="AE3361" s="340"/>
      <c r="AI3361" s="340"/>
      <c r="AN3361" s="340"/>
      <c r="AO3361" s="340"/>
      <c r="AS3361" s="340"/>
      <c r="AX3361" s="340"/>
      <c r="BB3361" s="340"/>
      <c r="BD3361" s="339"/>
    </row>
    <row r="3362" spans="7:56" s="338" customFormat="1">
      <c r="G3362" s="340"/>
      <c r="L3362" s="340"/>
      <c r="P3362" s="340"/>
      <c r="U3362" s="340"/>
      <c r="V3362" s="340"/>
      <c r="Z3362" s="340"/>
      <c r="AE3362" s="340"/>
      <c r="AI3362" s="340"/>
      <c r="AN3362" s="340"/>
      <c r="AO3362" s="340"/>
      <c r="AS3362" s="340"/>
      <c r="AX3362" s="340"/>
      <c r="BB3362" s="340"/>
      <c r="BD3362" s="339"/>
    </row>
    <row r="3363" spans="7:56" s="338" customFormat="1">
      <c r="G3363" s="340"/>
      <c r="L3363" s="340"/>
      <c r="P3363" s="340"/>
      <c r="U3363" s="340"/>
      <c r="V3363" s="340"/>
      <c r="Z3363" s="340"/>
      <c r="AE3363" s="340"/>
      <c r="AI3363" s="340"/>
      <c r="AN3363" s="340"/>
      <c r="AO3363" s="340"/>
      <c r="AS3363" s="340"/>
      <c r="AX3363" s="340"/>
      <c r="BB3363" s="340"/>
      <c r="BD3363" s="339"/>
    </row>
    <row r="3364" spans="7:56" s="338" customFormat="1">
      <c r="G3364" s="340"/>
      <c r="L3364" s="340"/>
      <c r="P3364" s="340"/>
      <c r="U3364" s="340"/>
      <c r="V3364" s="340"/>
      <c r="Z3364" s="340"/>
      <c r="AE3364" s="340"/>
      <c r="AI3364" s="340"/>
      <c r="AN3364" s="340"/>
      <c r="AO3364" s="340"/>
      <c r="AS3364" s="340"/>
      <c r="AX3364" s="340"/>
      <c r="BB3364" s="340"/>
      <c r="BD3364" s="339"/>
    </row>
    <row r="3365" spans="7:56" s="338" customFormat="1">
      <c r="G3365" s="340"/>
      <c r="L3365" s="340"/>
      <c r="P3365" s="340"/>
      <c r="U3365" s="340"/>
      <c r="V3365" s="340"/>
      <c r="Z3365" s="340"/>
      <c r="AE3365" s="340"/>
      <c r="AI3365" s="340"/>
      <c r="AN3365" s="340"/>
      <c r="AO3365" s="340"/>
      <c r="AS3365" s="340"/>
      <c r="AX3365" s="340"/>
      <c r="BB3365" s="340"/>
      <c r="BD3365" s="339"/>
    </row>
    <row r="3366" spans="7:56" s="338" customFormat="1">
      <c r="G3366" s="340"/>
      <c r="L3366" s="340"/>
      <c r="P3366" s="340"/>
      <c r="U3366" s="340"/>
      <c r="V3366" s="340"/>
      <c r="Z3366" s="340"/>
      <c r="AE3366" s="340"/>
      <c r="AI3366" s="340"/>
      <c r="AN3366" s="340"/>
      <c r="AO3366" s="340"/>
      <c r="AS3366" s="340"/>
      <c r="AX3366" s="340"/>
      <c r="BB3366" s="340"/>
      <c r="BD3366" s="339"/>
    </row>
    <row r="3367" spans="7:56" s="338" customFormat="1">
      <c r="G3367" s="340"/>
      <c r="L3367" s="340"/>
      <c r="P3367" s="340"/>
      <c r="U3367" s="340"/>
      <c r="V3367" s="340"/>
      <c r="Z3367" s="340"/>
      <c r="AE3367" s="340"/>
      <c r="AI3367" s="340"/>
      <c r="AN3367" s="340"/>
      <c r="AO3367" s="340"/>
      <c r="AS3367" s="340"/>
      <c r="AX3367" s="340"/>
      <c r="BB3367" s="340"/>
      <c r="BD3367" s="339"/>
    </row>
    <row r="3368" spans="7:56" s="338" customFormat="1">
      <c r="G3368" s="340"/>
      <c r="L3368" s="340"/>
      <c r="P3368" s="340"/>
      <c r="U3368" s="340"/>
      <c r="V3368" s="340"/>
      <c r="Z3368" s="340"/>
      <c r="AE3368" s="340"/>
      <c r="AI3368" s="340"/>
      <c r="AN3368" s="340"/>
      <c r="AO3368" s="340"/>
      <c r="AS3368" s="340"/>
      <c r="AX3368" s="340"/>
      <c r="BB3368" s="340"/>
      <c r="BD3368" s="339"/>
    </row>
    <row r="3369" spans="7:56" s="338" customFormat="1">
      <c r="G3369" s="340"/>
      <c r="L3369" s="340"/>
      <c r="P3369" s="340"/>
      <c r="U3369" s="340"/>
      <c r="V3369" s="340"/>
      <c r="Z3369" s="340"/>
      <c r="AE3369" s="340"/>
      <c r="AI3369" s="340"/>
      <c r="AN3369" s="340"/>
      <c r="AO3369" s="340"/>
      <c r="AS3369" s="340"/>
      <c r="AX3369" s="340"/>
      <c r="BB3369" s="340"/>
      <c r="BD3369" s="339"/>
    </row>
    <row r="3370" spans="7:56" s="338" customFormat="1">
      <c r="G3370" s="340"/>
      <c r="L3370" s="340"/>
      <c r="P3370" s="340"/>
      <c r="U3370" s="340"/>
      <c r="V3370" s="340"/>
      <c r="Z3370" s="340"/>
      <c r="AE3370" s="340"/>
      <c r="AI3370" s="340"/>
      <c r="AN3370" s="340"/>
      <c r="AO3370" s="340"/>
      <c r="AS3370" s="340"/>
      <c r="AX3370" s="340"/>
      <c r="BB3370" s="340"/>
      <c r="BD3370" s="339"/>
    </row>
    <row r="3371" spans="7:56" s="338" customFormat="1">
      <c r="G3371" s="340"/>
      <c r="L3371" s="340"/>
      <c r="P3371" s="340"/>
      <c r="U3371" s="340"/>
      <c r="V3371" s="340"/>
      <c r="Z3371" s="340"/>
      <c r="AE3371" s="340"/>
      <c r="AI3371" s="340"/>
      <c r="AN3371" s="340"/>
      <c r="AO3371" s="340"/>
      <c r="AS3371" s="340"/>
      <c r="AX3371" s="340"/>
      <c r="BB3371" s="340"/>
      <c r="BD3371" s="339"/>
    </row>
    <row r="3372" spans="7:56" s="338" customFormat="1">
      <c r="G3372" s="340"/>
      <c r="L3372" s="340"/>
      <c r="P3372" s="340"/>
      <c r="U3372" s="340"/>
      <c r="V3372" s="340"/>
      <c r="Z3372" s="340"/>
      <c r="AE3372" s="340"/>
      <c r="AI3372" s="340"/>
      <c r="AN3372" s="340"/>
      <c r="AO3372" s="340"/>
      <c r="AS3372" s="340"/>
      <c r="AX3372" s="340"/>
      <c r="BB3372" s="340"/>
      <c r="BD3372" s="339"/>
    </row>
    <row r="3373" spans="7:56" s="338" customFormat="1">
      <c r="G3373" s="340"/>
      <c r="L3373" s="340"/>
      <c r="P3373" s="340"/>
      <c r="U3373" s="340"/>
      <c r="V3373" s="340"/>
      <c r="Z3373" s="340"/>
      <c r="AE3373" s="340"/>
      <c r="AI3373" s="340"/>
      <c r="AN3373" s="340"/>
      <c r="AO3373" s="340"/>
      <c r="AS3373" s="340"/>
      <c r="AX3373" s="340"/>
      <c r="BB3373" s="340"/>
      <c r="BD3373" s="339"/>
    </row>
    <row r="3374" spans="7:56" s="338" customFormat="1">
      <c r="G3374" s="340"/>
      <c r="L3374" s="340"/>
      <c r="P3374" s="340"/>
      <c r="U3374" s="340"/>
      <c r="V3374" s="340"/>
      <c r="Z3374" s="340"/>
      <c r="AE3374" s="340"/>
      <c r="AI3374" s="340"/>
      <c r="AN3374" s="340"/>
      <c r="AO3374" s="340"/>
      <c r="AS3374" s="340"/>
      <c r="AX3374" s="340"/>
      <c r="BB3374" s="340"/>
      <c r="BD3374" s="339"/>
    </row>
    <row r="3375" spans="7:56" s="338" customFormat="1">
      <c r="G3375" s="340"/>
      <c r="L3375" s="340"/>
      <c r="P3375" s="340"/>
      <c r="U3375" s="340"/>
      <c r="V3375" s="340"/>
      <c r="Z3375" s="340"/>
      <c r="AE3375" s="340"/>
      <c r="AI3375" s="340"/>
      <c r="AN3375" s="340"/>
      <c r="AO3375" s="340"/>
      <c r="AS3375" s="340"/>
      <c r="AX3375" s="340"/>
      <c r="BB3375" s="340"/>
      <c r="BD3375" s="339"/>
    </row>
    <row r="3376" spans="7:56" s="338" customFormat="1">
      <c r="G3376" s="340"/>
      <c r="L3376" s="340"/>
      <c r="P3376" s="340"/>
      <c r="U3376" s="340"/>
      <c r="V3376" s="340"/>
      <c r="Z3376" s="340"/>
      <c r="AE3376" s="340"/>
      <c r="AI3376" s="340"/>
      <c r="AN3376" s="340"/>
      <c r="AO3376" s="340"/>
      <c r="AS3376" s="340"/>
      <c r="AX3376" s="340"/>
      <c r="BB3376" s="340"/>
      <c r="BD3376" s="339"/>
    </row>
    <row r="3377" spans="7:56" s="338" customFormat="1">
      <c r="G3377" s="340"/>
      <c r="L3377" s="340"/>
      <c r="P3377" s="340"/>
      <c r="U3377" s="340"/>
      <c r="V3377" s="340"/>
      <c r="Z3377" s="340"/>
      <c r="AE3377" s="340"/>
      <c r="AI3377" s="340"/>
      <c r="AN3377" s="340"/>
      <c r="AO3377" s="340"/>
      <c r="AS3377" s="340"/>
      <c r="AX3377" s="340"/>
      <c r="BB3377" s="340"/>
      <c r="BD3377" s="339"/>
    </row>
    <row r="3378" spans="7:56" s="338" customFormat="1">
      <c r="G3378" s="340"/>
      <c r="L3378" s="340"/>
      <c r="P3378" s="340"/>
      <c r="U3378" s="340"/>
      <c r="V3378" s="340"/>
      <c r="Z3378" s="340"/>
      <c r="AE3378" s="340"/>
      <c r="AI3378" s="340"/>
      <c r="AN3378" s="340"/>
      <c r="AO3378" s="340"/>
      <c r="AS3378" s="340"/>
      <c r="AX3378" s="340"/>
      <c r="BB3378" s="340"/>
      <c r="BD3378" s="339"/>
    </row>
    <row r="3379" spans="7:56" s="338" customFormat="1">
      <c r="G3379" s="340"/>
      <c r="L3379" s="340"/>
      <c r="P3379" s="340"/>
      <c r="U3379" s="340"/>
      <c r="V3379" s="340"/>
      <c r="Z3379" s="340"/>
      <c r="AE3379" s="340"/>
      <c r="AI3379" s="340"/>
      <c r="AN3379" s="340"/>
      <c r="AO3379" s="340"/>
      <c r="AS3379" s="340"/>
      <c r="AX3379" s="340"/>
      <c r="BB3379" s="340"/>
      <c r="BD3379" s="339"/>
    </row>
    <row r="3380" spans="7:56" s="338" customFormat="1">
      <c r="G3380" s="340"/>
      <c r="L3380" s="340"/>
      <c r="P3380" s="340"/>
      <c r="U3380" s="340"/>
      <c r="V3380" s="340"/>
      <c r="Z3380" s="340"/>
      <c r="AE3380" s="340"/>
      <c r="AI3380" s="340"/>
      <c r="AN3380" s="340"/>
      <c r="AO3380" s="340"/>
      <c r="AS3380" s="340"/>
      <c r="AX3380" s="340"/>
      <c r="BB3380" s="340"/>
      <c r="BD3380" s="339"/>
    </row>
    <row r="3381" spans="7:56" s="338" customFormat="1">
      <c r="G3381" s="340"/>
      <c r="L3381" s="340"/>
      <c r="P3381" s="340"/>
      <c r="U3381" s="340"/>
      <c r="V3381" s="340"/>
      <c r="Z3381" s="340"/>
      <c r="AE3381" s="340"/>
      <c r="AI3381" s="340"/>
      <c r="AN3381" s="340"/>
      <c r="AO3381" s="340"/>
      <c r="AS3381" s="340"/>
      <c r="AX3381" s="340"/>
      <c r="BB3381" s="340"/>
      <c r="BD3381" s="339"/>
    </row>
    <row r="3382" spans="7:56" s="338" customFormat="1">
      <c r="G3382" s="340"/>
      <c r="L3382" s="340"/>
      <c r="P3382" s="340"/>
      <c r="U3382" s="340"/>
      <c r="V3382" s="340"/>
      <c r="Z3382" s="340"/>
      <c r="AE3382" s="340"/>
      <c r="AI3382" s="340"/>
      <c r="AN3382" s="340"/>
      <c r="AO3382" s="340"/>
      <c r="AS3382" s="340"/>
      <c r="AX3382" s="340"/>
      <c r="BB3382" s="340"/>
      <c r="BD3382" s="339"/>
    </row>
    <row r="3383" spans="7:56" s="338" customFormat="1">
      <c r="G3383" s="340"/>
      <c r="L3383" s="340"/>
      <c r="P3383" s="340"/>
      <c r="U3383" s="340"/>
      <c r="V3383" s="340"/>
      <c r="Z3383" s="340"/>
      <c r="AE3383" s="340"/>
      <c r="AI3383" s="340"/>
      <c r="AN3383" s="340"/>
      <c r="AO3383" s="340"/>
      <c r="AS3383" s="340"/>
      <c r="AX3383" s="340"/>
      <c r="BB3383" s="340"/>
      <c r="BD3383" s="339"/>
    </row>
    <row r="3384" spans="7:56" s="338" customFormat="1">
      <c r="G3384" s="340"/>
      <c r="L3384" s="340"/>
      <c r="P3384" s="340"/>
      <c r="U3384" s="340"/>
      <c r="V3384" s="340"/>
      <c r="Z3384" s="340"/>
      <c r="AE3384" s="340"/>
      <c r="AI3384" s="340"/>
      <c r="AN3384" s="340"/>
      <c r="AO3384" s="340"/>
      <c r="AS3384" s="340"/>
      <c r="AX3384" s="340"/>
      <c r="BB3384" s="340"/>
      <c r="BD3384" s="339"/>
    </row>
    <row r="3385" spans="7:56" s="338" customFormat="1">
      <c r="G3385" s="340"/>
      <c r="L3385" s="340"/>
      <c r="P3385" s="340"/>
      <c r="U3385" s="340"/>
      <c r="V3385" s="340"/>
      <c r="Z3385" s="340"/>
      <c r="AE3385" s="340"/>
      <c r="AI3385" s="340"/>
      <c r="AN3385" s="340"/>
      <c r="AO3385" s="340"/>
      <c r="AS3385" s="340"/>
      <c r="AX3385" s="340"/>
      <c r="BB3385" s="340"/>
      <c r="BD3385" s="339"/>
    </row>
    <row r="3386" spans="7:56" s="338" customFormat="1">
      <c r="G3386" s="340"/>
      <c r="L3386" s="340"/>
      <c r="P3386" s="340"/>
      <c r="U3386" s="340"/>
      <c r="V3386" s="340"/>
      <c r="Z3386" s="340"/>
      <c r="AE3386" s="340"/>
      <c r="AI3386" s="340"/>
      <c r="AN3386" s="340"/>
      <c r="AO3386" s="340"/>
      <c r="AS3386" s="340"/>
      <c r="AX3386" s="340"/>
      <c r="BB3386" s="340"/>
      <c r="BD3386" s="339"/>
    </row>
    <row r="3387" spans="7:56" s="338" customFormat="1">
      <c r="G3387" s="340"/>
      <c r="L3387" s="340"/>
      <c r="P3387" s="340"/>
      <c r="U3387" s="340"/>
      <c r="V3387" s="340"/>
      <c r="Z3387" s="340"/>
      <c r="AE3387" s="340"/>
      <c r="AI3387" s="340"/>
      <c r="AN3387" s="340"/>
      <c r="AO3387" s="340"/>
      <c r="AS3387" s="340"/>
      <c r="AX3387" s="340"/>
      <c r="BB3387" s="340"/>
      <c r="BD3387" s="339"/>
    </row>
    <row r="3388" spans="7:56" s="338" customFormat="1">
      <c r="G3388" s="340"/>
      <c r="L3388" s="340"/>
      <c r="P3388" s="340"/>
      <c r="U3388" s="340"/>
      <c r="V3388" s="340"/>
      <c r="Z3388" s="340"/>
      <c r="AE3388" s="340"/>
      <c r="AI3388" s="340"/>
      <c r="AN3388" s="340"/>
      <c r="AO3388" s="340"/>
      <c r="AS3388" s="340"/>
      <c r="AX3388" s="340"/>
      <c r="BB3388" s="340"/>
      <c r="BD3388" s="339"/>
    </row>
    <row r="3389" spans="7:56" s="338" customFormat="1">
      <c r="G3389" s="340"/>
      <c r="L3389" s="340"/>
      <c r="P3389" s="340"/>
      <c r="U3389" s="340"/>
      <c r="V3389" s="340"/>
      <c r="Z3389" s="340"/>
      <c r="AE3389" s="340"/>
      <c r="AI3389" s="340"/>
      <c r="AN3389" s="340"/>
      <c r="AO3389" s="340"/>
      <c r="AS3389" s="340"/>
      <c r="AX3389" s="340"/>
      <c r="BB3389" s="340"/>
      <c r="BD3389" s="339"/>
    </row>
    <row r="3390" spans="7:56" s="338" customFormat="1">
      <c r="G3390" s="340"/>
      <c r="L3390" s="340"/>
      <c r="P3390" s="340"/>
      <c r="U3390" s="340"/>
      <c r="V3390" s="340"/>
      <c r="Z3390" s="340"/>
      <c r="AE3390" s="340"/>
      <c r="AI3390" s="340"/>
      <c r="AN3390" s="340"/>
      <c r="AO3390" s="340"/>
      <c r="AS3390" s="340"/>
      <c r="AX3390" s="340"/>
      <c r="BB3390" s="340"/>
      <c r="BD3390" s="339"/>
    </row>
    <row r="3391" spans="7:56" s="338" customFormat="1">
      <c r="G3391" s="340"/>
      <c r="L3391" s="340"/>
      <c r="P3391" s="340"/>
      <c r="U3391" s="340"/>
      <c r="V3391" s="340"/>
      <c r="Z3391" s="340"/>
      <c r="AE3391" s="340"/>
      <c r="AI3391" s="340"/>
      <c r="AN3391" s="340"/>
      <c r="AO3391" s="340"/>
      <c r="AS3391" s="340"/>
      <c r="AX3391" s="340"/>
      <c r="BB3391" s="340"/>
      <c r="BD3391" s="339"/>
    </row>
    <row r="3392" spans="7:56" s="338" customFormat="1">
      <c r="G3392" s="340"/>
      <c r="L3392" s="340"/>
      <c r="P3392" s="340"/>
      <c r="U3392" s="340"/>
      <c r="V3392" s="340"/>
      <c r="Z3392" s="340"/>
      <c r="AE3392" s="340"/>
      <c r="AI3392" s="340"/>
      <c r="AN3392" s="340"/>
      <c r="AO3392" s="340"/>
      <c r="AS3392" s="340"/>
      <c r="AX3392" s="340"/>
      <c r="BB3392" s="340"/>
      <c r="BD3392" s="339"/>
    </row>
    <row r="3393" spans="7:56" s="338" customFormat="1">
      <c r="G3393" s="340"/>
      <c r="L3393" s="340"/>
      <c r="P3393" s="340"/>
      <c r="U3393" s="340"/>
      <c r="V3393" s="340"/>
      <c r="Z3393" s="340"/>
      <c r="AE3393" s="340"/>
      <c r="AI3393" s="340"/>
      <c r="AN3393" s="340"/>
      <c r="AO3393" s="340"/>
      <c r="AS3393" s="340"/>
      <c r="AX3393" s="340"/>
      <c r="BB3393" s="340"/>
      <c r="BD3393" s="339"/>
    </row>
    <row r="3394" spans="7:56" s="338" customFormat="1">
      <c r="G3394" s="340"/>
      <c r="L3394" s="340"/>
      <c r="P3394" s="340"/>
      <c r="U3394" s="340"/>
      <c r="V3394" s="340"/>
      <c r="Z3394" s="340"/>
      <c r="AE3394" s="340"/>
      <c r="AI3394" s="340"/>
      <c r="AN3394" s="340"/>
      <c r="AO3394" s="340"/>
      <c r="AS3394" s="340"/>
      <c r="AX3394" s="340"/>
      <c r="BB3394" s="340"/>
      <c r="BD3394" s="339"/>
    </row>
    <row r="3395" spans="7:56" s="338" customFormat="1">
      <c r="G3395" s="340"/>
      <c r="L3395" s="340"/>
      <c r="P3395" s="340"/>
      <c r="U3395" s="340"/>
      <c r="V3395" s="340"/>
      <c r="Z3395" s="340"/>
      <c r="AE3395" s="340"/>
      <c r="AI3395" s="340"/>
      <c r="AN3395" s="340"/>
      <c r="AO3395" s="340"/>
      <c r="AS3395" s="340"/>
      <c r="AX3395" s="340"/>
      <c r="BB3395" s="340"/>
      <c r="BD3395" s="339"/>
    </row>
    <row r="3396" spans="7:56" s="338" customFormat="1">
      <c r="G3396" s="340"/>
      <c r="L3396" s="340"/>
      <c r="P3396" s="340"/>
      <c r="U3396" s="340"/>
      <c r="V3396" s="340"/>
      <c r="Z3396" s="340"/>
      <c r="AE3396" s="340"/>
      <c r="AI3396" s="340"/>
      <c r="AN3396" s="340"/>
      <c r="AO3396" s="340"/>
      <c r="AS3396" s="340"/>
      <c r="AX3396" s="340"/>
      <c r="BB3396" s="340"/>
      <c r="BD3396" s="339"/>
    </row>
    <row r="3397" spans="7:56" s="338" customFormat="1">
      <c r="G3397" s="340"/>
      <c r="L3397" s="340"/>
      <c r="P3397" s="340"/>
      <c r="U3397" s="340"/>
      <c r="V3397" s="340"/>
      <c r="Z3397" s="340"/>
      <c r="AE3397" s="340"/>
      <c r="AI3397" s="340"/>
      <c r="AN3397" s="340"/>
      <c r="AO3397" s="340"/>
      <c r="AS3397" s="340"/>
      <c r="AX3397" s="340"/>
      <c r="BB3397" s="340"/>
      <c r="BD3397" s="339"/>
    </row>
    <row r="3398" spans="7:56" s="338" customFormat="1">
      <c r="G3398" s="340"/>
      <c r="L3398" s="340"/>
      <c r="P3398" s="340"/>
      <c r="U3398" s="340"/>
      <c r="V3398" s="340"/>
      <c r="Z3398" s="340"/>
      <c r="AE3398" s="340"/>
      <c r="AI3398" s="340"/>
      <c r="AN3398" s="340"/>
      <c r="AO3398" s="340"/>
      <c r="AS3398" s="340"/>
      <c r="AX3398" s="340"/>
      <c r="BB3398" s="340"/>
      <c r="BD3398" s="339"/>
    </row>
    <row r="3399" spans="7:56" s="338" customFormat="1">
      <c r="G3399" s="340"/>
      <c r="L3399" s="340"/>
      <c r="P3399" s="340"/>
      <c r="U3399" s="340"/>
      <c r="V3399" s="340"/>
      <c r="Z3399" s="340"/>
      <c r="AE3399" s="340"/>
      <c r="AI3399" s="340"/>
      <c r="AN3399" s="340"/>
      <c r="AO3399" s="340"/>
      <c r="AS3399" s="340"/>
      <c r="AX3399" s="340"/>
      <c r="BB3399" s="340"/>
      <c r="BD3399" s="339"/>
    </row>
    <row r="3400" spans="7:56" s="338" customFormat="1">
      <c r="G3400" s="340"/>
      <c r="L3400" s="340"/>
      <c r="P3400" s="340"/>
      <c r="U3400" s="340"/>
      <c r="V3400" s="340"/>
      <c r="Z3400" s="340"/>
      <c r="AE3400" s="340"/>
      <c r="AI3400" s="340"/>
      <c r="AN3400" s="340"/>
      <c r="AO3400" s="340"/>
      <c r="AS3400" s="340"/>
      <c r="AX3400" s="340"/>
      <c r="BB3400" s="340"/>
      <c r="BD3400" s="339"/>
    </row>
    <row r="3401" spans="7:56" s="338" customFormat="1">
      <c r="G3401" s="340"/>
      <c r="L3401" s="340"/>
      <c r="P3401" s="340"/>
      <c r="U3401" s="340"/>
      <c r="V3401" s="340"/>
      <c r="Z3401" s="340"/>
      <c r="AE3401" s="340"/>
      <c r="AI3401" s="340"/>
      <c r="AN3401" s="340"/>
      <c r="AO3401" s="340"/>
      <c r="AS3401" s="340"/>
      <c r="AX3401" s="340"/>
      <c r="BB3401" s="340"/>
      <c r="BD3401" s="339"/>
    </row>
    <row r="3402" spans="7:56" s="338" customFormat="1">
      <c r="G3402" s="340"/>
      <c r="L3402" s="340"/>
      <c r="P3402" s="340"/>
      <c r="U3402" s="340"/>
      <c r="V3402" s="340"/>
      <c r="Z3402" s="340"/>
      <c r="AE3402" s="340"/>
      <c r="AI3402" s="340"/>
      <c r="AN3402" s="340"/>
      <c r="AO3402" s="340"/>
      <c r="AS3402" s="340"/>
      <c r="AX3402" s="340"/>
      <c r="BB3402" s="340"/>
      <c r="BD3402" s="339"/>
    </row>
    <row r="3403" spans="7:56" s="338" customFormat="1">
      <c r="G3403" s="340"/>
      <c r="L3403" s="340"/>
      <c r="P3403" s="340"/>
      <c r="U3403" s="340"/>
      <c r="V3403" s="340"/>
      <c r="Z3403" s="340"/>
      <c r="AE3403" s="340"/>
      <c r="AI3403" s="340"/>
      <c r="AN3403" s="340"/>
      <c r="AO3403" s="340"/>
      <c r="AS3403" s="340"/>
      <c r="AX3403" s="340"/>
      <c r="BB3403" s="340"/>
      <c r="BD3403" s="339"/>
    </row>
    <row r="3404" spans="7:56" s="338" customFormat="1">
      <c r="G3404" s="340"/>
      <c r="L3404" s="340"/>
      <c r="P3404" s="340"/>
      <c r="U3404" s="340"/>
      <c r="V3404" s="340"/>
      <c r="Z3404" s="340"/>
      <c r="AE3404" s="340"/>
      <c r="AI3404" s="340"/>
      <c r="AN3404" s="340"/>
      <c r="AO3404" s="340"/>
      <c r="AS3404" s="340"/>
      <c r="AX3404" s="340"/>
      <c r="BB3404" s="340"/>
      <c r="BD3404" s="339"/>
    </row>
    <row r="3405" spans="7:56" s="338" customFormat="1">
      <c r="G3405" s="340"/>
      <c r="L3405" s="340"/>
      <c r="P3405" s="340"/>
      <c r="U3405" s="340"/>
      <c r="V3405" s="340"/>
      <c r="Z3405" s="340"/>
      <c r="AE3405" s="340"/>
      <c r="AI3405" s="340"/>
      <c r="AN3405" s="340"/>
      <c r="AO3405" s="340"/>
      <c r="AS3405" s="340"/>
      <c r="AX3405" s="340"/>
      <c r="BB3405" s="340"/>
      <c r="BD3405" s="339"/>
    </row>
    <row r="3406" spans="7:56" s="338" customFormat="1">
      <c r="G3406" s="340"/>
      <c r="L3406" s="340"/>
      <c r="P3406" s="340"/>
      <c r="U3406" s="340"/>
      <c r="V3406" s="340"/>
      <c r="Z3406" s="340"/>
      <c r="AE3406" s="340"/>
      <c r="AI3406" s="340"/>
      <c r="AN3406" s="340"/>
      <c r="AO3406" s="340"/>
      <c r="AS3406" s="340"/>
      <c r="AX3406" s="340"/>
      <c r="BB3406" s="340"/>
      <c r="BD3406" s="339"/>
    </row>
    <row r="3407" spans="7:56" s="338" customFormat="1">
      <c r="G3407" s="340"/>
      <c r="L3407" s="340"/>
      <c r="P3407" s="340"/>
      <c r="U3407" s="340"/>
      <c r="V3407" s="340"/>
      <c r="Z3407" s="340"/>
      <c r="AE3407" s="340"/>
      <c r="AI3407" s="340"/>
      <c r="AN3407" s="340"/>
      <c r="AO3407" s="340"/>
      <c r="AS3407" s="340"/>
      <c r="AX3407" s="340"/>
      <c r="BB3407" s="340"/>
      <c r="BD3407" s="339"/>
    </row>
    <row r="3408" spans="7:56" s="338" customFormat="1">
      <c r="G3408" s="340"/>
      <c r="L3408" s="340"/>
      <c r="P3408" s="340"/>
      <c r="U3408" s="340"/>
      <c r="V3408" s="340"/>
      <c r="Z3408" s="340"/>
      <c r="AE3408" s="340"/>
      <c r="AI3408" s="340"/>
      <c r="AN3408" s="340"/>
      <c r="AO3408" s="340"/>
      <c r="AS3408" s="340"/>
      <c r="AX3408" s="340"/>
      <c r="BB3408" s="340"/>
      <c r="BD3408" s="339"/>
    </row>
    <row r="3409" spans="7:56" s="338" customFormat="1">
      <c r="G3409" s="340"/>
      <c r="L3409" s="340"/>
      <c r="P3409" s="340"/>
      <c r="U3409" s="340"/>
      <c r="V3409" s="340"/>
      <c r="Z3409" s="340"/>
      <c r="AE3409" s="340"/>
      <c r="AI3409" s="340"/>
      <c r="AN3409" s="340"/>
      <c r="AO3409" s="340"/>
      <c r="AS3409" s="340"/>
      <c r="AX3409" s="340"/>
      <c r="BB3409" s="340"/>
      <c r="BD3409" s="339"/>
    </row>
    <row r="3410" spans="7:56" s="338" customFormat="1">
      <c r="G3410" s="340"/>
      <c r="L3410" s="340"/>
      <c r="P3410" s="340"/>
      <c r="U3410" s="340"/>
      <c r="V3410" s="340"/>
      <c r="Z3410" s="340"/>
      <c r="AE3410" s="340"/>
      <c r="AI3410" s="340"/>
      <c r="AN3410" s="340"/>
      <c r="AO3410" s="340"/>
      <c r="AS3410" s="340"/>
      <c r="AX3410" s="340"/>
      <c r="BB3410" s="340"/>
      <c r="BD3410" s="339"/>
    </row>
    <row r="3411" spans="7:56" s="338" customFormat="1">
      <c r="G3411" s="340"/>
      <c r="L3411" s="340"/>
      <c r="P3411" s="340"/>
      <c r="U3411" s="340"/>
      <c r="V3411" s="340"/>
      <c r="Z3411" s="340"/>
      <c r="AE3411" s="340"/>
      <c r="AI3411" s="340"/>
      <c r="AN3411" s="340"/>
      <c r="AO3411" s="340"/>
      <c r="AS3411" s="340"/>
      <c r="AX3411" s="340"/>
      <c r="BB3411" s="340"/>
      <c r="BD3411" s="339"/>
    </row>
    <row r="3412" spans="7:56" s="338" customFormat="1">
      <c r="G3412" s="340"/>
      <c r="L3412" s="340"/>
      <c r="P3412" s="340"/>
      <c r="U3412" s="340"/>
      <c r="V3412" s="340"/>
      <c r="Z3412" s="340"/>
      <c r="AE3412" s="340"/>
      <c r="AI3412" s="340"/>
      <c r="AN3412" s="340"/>
      <c r="AO3412" s="340"/>
      <c r="AS3412" s="340"/>
      <c r="AX3412" s="340"/>
      <c r="BB3412" s="340"/>
      <c r="BD3412" s="339"/>
    </row>
    <row r="3413" spans="7:56" s="338" customFormat="1">
      <c r="G3413" s="340"/>
      <c r="L3413" s="340"/>
      <c r="P3413" s="340"/>
      <c r="U3413" s="340"/>
      <c r="V3413" s="340"/>
      <c r="Z3413" s="340"/>
      <c r="AE3413" s="340"/>
      <c r="AI3413" s="340"/>
      <c r="AN3413" s="340"/>
      <c r="AO3413" s="340"/>
      <c r="AS3413" s="340"/>
      <c r="AX3413" s="340"/>
      <c r="BB3413" s="340"/>
      <c r="BD3413" s="339"/>
    </row>
    <row r="3414" spans="7:56" s="338" customFormat="1">
      <c r="G3414" s="340"/>
      <c r="L3414" s="340"/>
      <c r="P3414" s="340"/>
      <c r="U3414" s="340"/>
      <c r="V3414" s="340"/>
      <c r="Z3414" s="340"/>
      <c r="AE3414" s="340"/>
      <c r="AI3414" s="340"/>
      <c r="AN3414" s="340"/>
      <c r="AO3414" s="340"/>
      <c r="AS3414" s="340"/>
      <c r="AX3414" s="340"/>
      <c r="BB3414" s="340"/>
      <c r="BD3414" s="339"/>
    </row>
    <row r="3415" spans="7:56" s="338" customFormat="1">
      <c r="G3415" s="340"/>
      <c r="L3415" s="340"/>
      <c r="P3415" s="340"/>
      <c r="U3415" s="340"/>
      <c r="V3415" s="340"/>
      <c r="Z3415" s="340"/>
      <c r="AE3415" s="340"/>
      <c r="AI3415" s="340"/>
      <c r="AN3415" s="340"/>
      <c r="AO3415" s="340"/>
      <c r="AS3415" s="340"/>
      <c r="AX3415" s="340"/>
      <c r="BB3415" s="340"/>
      <c r="BD3415" s="339"/>
    </row>
    <row r="3416" spans="7:56" s="338" customFormat="1">
      <c r="G3416" s="340"/>
      <c r="L3416" s="340"/>
      <c r="P3416" s="340"/>
      <c r="U3416" s="340"/>
      <c r="V3416" s="340"/>
      <c r="Z3416" s="340"/>
      <c r="AE3416" s="340"/>
      <c r="AI3416" s="340"/>
      <c r="AN3416" s="340"/>
      <c r="AO3416" s="340"/>
      <c r="AS3416" s="340"/>
      <c r="AX3416" s="340"/>
      <c r="BB3416" s="340"/>
      <c r="BD3416" s="339"/>
    </row>
    <row r="3417" spans="7:56" s="338" customFormat="1">
      <c r="G3417" s="340"/>
      <c r="L3417" s="340"/>
      <c r="P3417" s="340"/>
      <c r="U3417" s="340"/>
      <c r="V3417" s="340"/>
      <c r="Z3417" s="340"/>
      <c r="AE3417" s="340"/>
      <c r="AI3417" s="340"/>
      <c r="AN3417" s="340"/>
      <c r="AO3417" s="340"/>
      <c r="AS3417" s="340"/>
      <c r="AX3417" s="340"/>
      <c r="BB3417" s="340"/>
      <c r="BD3417" s="339"/>
    </row>
    <row r="3418" spans="7:56" s="338" customFormat="1">
      <c r="G3418" s="340"/>
      <c r="L3418" s="340"/>
      <c r="P3418" s="340"/>
      <c r="U3418" s="340"/>
      <c r="V3418" s="340"/>
      <c r="Z3418" s="340"/>
      <c r="AE3418" s="340"/>
      <c r="AI3418" s="340"/>
      <c r="AN3418" s="340"/>
      <c r="AO3418" s="340"/>
      <c r="AS3418" s="340"/>
      <c r="AX3418" s="340"/>
      <c r="BB3418" s="340"/>
      <c r="BD3418" s="339"/>
    </row>
    <row r="3419" spans="7:56" s="338" customFormat="1">
      <c r="G3419" s="340"/>
      <c r="L3419" s="340"/>
      <c r="P3419" s="340"/>
      <c r="U3419" s="340"/>
      <c r="V3419" s="340"/>
      <c r="Z3419" s="340"/>
      <c r="AE3419" s="340"/>
      <c r="AI3419" s="340"/>
      <c r="AN3419" s="340"/>
      <c r="AO3419" s="340"/>
      <c r="AS3419" s="340"/>
      <c r="AX3419" s="340"/>
      <c r="BB3419" s="340"/>
      <c r="BD3419" s="339"/>
    </row>
    <row r="3420" spans="7:56" s="338" customFormat="1">
      <c r="G3420" s="340"/>
      <c r="L3420" s="340"/>
      <c r="P3420" s="340"/>
      <c r="U3420" s="340"/>
      <c r="V3420" s="340"/>
      <c r="Z3420" s="340"/>
      <c r="AE3420" s="340"/>
      <c r="AI3420" s="340"/>
      <c r="AN3420" s="340"/>
      <c r="AO3420" s="340"/>
      <c r="AS3420" s="340"/>
      <c r="AX3420" s="340"/>
      <c r="BB3420" s="340"/>
      <c r="BD3420" s="339"/>
    </row>
    <row r="3421" spans="7:56" s="338" customFormat="1">
      <c r="G3421" s="340"/>
      <c r="L3421" s="340"/>
      <c r="P3421" s="340"/>
      <c r="U3421" s="340"/>
      <c r="V3421" s="340"/>
      <c r="Z3421" s="340"/>
      <c r="AE3421" s="340"/>
      <c r="AI3421" s="340"/>
      <c r="AN3421" s="340"/>
      <c r="AO3421" s="340"/>
      <c r="AS3421" s="340"/>
      <c r="AX3421" s="340"/>
      <c r="BB3421" s="340"/>
      <c r="BD3421" s="339"/>
    </row>
    <row r="3422" spans="7:56" s="338" customFormat="1">
      <c r="G3422" s="340"/>
      <c r="L3422" s="340"/>
      <c r="P3422" s="340"/>
      <c r="U3422" s="340"/>
      <c r="V3422" s="340"/>
      <c r="Z3422" s="340"/>
      <c r="AE3422" s="340"/>
      <c r="AI3422" s="340"/>
      <c r="AN3422" s="340"/>
      <c r="AO3422" s="340"/>
      <c r="AS3422" s="340"/>
      <c r="AX3422" s="340"/>
      <c r="BB3422" s="340"/>
      <c r="BD3422" s="339"/>
    </row>
    <row r="3423" spans="7:56" s="338" customFormat="1">
      <c r="G3423" s="340"/>
      <c r="L3423" s="340"/>
      <c r="P3423" s="340"/>
      <c r="U3423" s="340"/>
      <c r="V3423" s="340"/>
      <c r="Z3423" s="340"/>
      <c r="AE3423" s="340"/>
      <c r="AI3423" s="340"/>
      <c r="AN3423" s="340"/>
      <c r="AO3423" s="340"/>
      <c r="AS3423" s="340"/>
      <c r="AX3423" s="340"/>
      <c r="BB3423" s="340"/>
      <c r="BD3423" s="339"/>
    </row>
    <row r="3424" spans="7:56" s="338" customFormat="1">
      <c r="G3424" s="340"/>
      <c r="L3424" s="340"/>
      <c r="P3424" s="340"/>
      <c r="U3424" s="340"/>
      <c r="V3424" s="340"/>
      <c r="Z3424" s="340"/>
      <c r="AE3424" s="340"/>
      <c r="AI3424" s="340"/>
      <c r="AN3424" s="340"/>
      <c r="AO3424" s="340"/>
      <c r="AS3424" s="340"/>
      <c r="AX3424" s="340"/>
      <c r="BB3424" s="340"/>
      <c r="BD3424" s="339"/>
    </row>
    <row r="3425" spans="7:56" s="338" customFormat="1">
      <c r="G3425" s="340"/>
      <c r="L3425" s="340"/>
      <c r="P3425" s="340"/>
      <c r="U3425" s="340"/>
      <c r="V3425" s="340"/>
      <c r="Z3425" s="340"/>
      <c r="AE3425" s="340"/>
      <c r="AI3425" s="340"/>
      <c r="AN3425" s="340"/>
      <c r="AO3425" s="340"/>
      <c r="AS3425" s="340"/>
      <c r="AX3425" s="340"/>
      <c r="BB3425" s="340"/>
      <c r="BD3425" s="339"/>
    </row>
    <row r="3426" spans="7:56" s="338" customFormat="1">
      <c r="G3426" s="340"/>
      <c r="L3426" s="340"/>
      <c r="P3426" s="340"/>
      <c r="U3426" s="340"/>
      <c r="V3426" s="340"/>
      <c r="Z3426" s="340"/>
      <c r="AE3426" s="340"/>
      <c r="AI3426" s="340"/>
      <c r="AN3426" s="340"/>
      <c r="AO3426" s="340"/>
      <c r="AS3426" s="340"/>
      <c r="AX3426" s="340"/>
      <c r="BB3426" s="340"/>
      <c r="BD3426" s="339"/>
    </row>
    <row r="3427" spans="7:56" s="338" customFormat="1">
      <c r="G3427" s="340"/>
      <c r="L3427" s="340"/>
      <c r="P3427" s="340"/>
      <c r="U3427" s="340"/>
      <c r="V3427" s="340"/>
      <c r="Z3427" s="340"/>
      <c r="AE3427" s="340"/>
      <c r="AI3427" s="340"/>
      <c r="AN3427" s="340"/>
      <c r="AO3427" s="340"/>
      <c r="AS3427" s="340"/>
      <c r="AX3427" s="340"/>
      <c r="BB3427" s="340"/>
      <c r="BD3427" s="339"/>
    </row>
    <row r="3428" spans="7:56" s="338" customFormat="1">
      <c r="G3428" s="340"/>
      <c r="L3428" s="340"/>
      <c r="P3428" s="340"/>
      <c r="U3428" s="340"/>
      <c r="V3428" s="340"/>
      <c r="Z3428" s="340"/>
      <c r="AE3428" s="340"/>
      <c r="AI3428" s="340"/>
      <c r="AN3428" s="340"/>
      <c r="AO3428" s="340"/>
      <c r="AS3428" s="340"/>
      <c r="AX3428" s="340"/>
      <c r="BB3428" s="340"/>
      <c r="BD3428" s="339"/>
    </row>
    <row r="3429" spans="7:56" s="338" customFormat="1">
      <c r="G3429" s="340"/>
      <c r="L3429" s="340"/>
      <c r="P3429" s="340"/>
      <c r="U3429" s="340"/>
      <c r="V3429" s="340"/>
      <c r="Z3429" s="340"/>
      <c r="AE3429" s="340"/>
      <c r="AI3429" s="340"/>
      <c r="AN3429" s="340"/>
      <c r="AO3429" s="340"/>
      <c r="AS3429" s="340"/>
      <c r="AX3429" s="340"/>
      <c r="BB3429" s="340"/>
      <c r="BD3429" s="339"/>
    </row>
    <row r="3430" spans="7:56" s="338" customFormat="1">
      <c r="G3430" s="340"/>
      <c r="L3430" s="340"/>
      <c r="P3430" s="340"/>
      <c r="U3430" s="340"/>
      <c r="V3430" s="340"/>
      <c r="Z3430" s="340"/>
      <c r="AE3430" s="340"/>
      <c r="AI3430" s="340"/>
      <c r="AN3430" s="340"/>
      <c r="AO3430" s="340"/>
      <c r="AS3430" s="340"/>
      <c r="AX3430" s="340"/>
      <c r="BB3430" s="340"/>
      <c r="BD3430" s="339"/>
    </row>
    <row r="3431" spans="7:56" s="338" customFormat="1">
      <c r="G3431" s="340"/>
      <c r="L3431" s="340"/>
      <c r="P3431" s="340"/>
      <c r="U3431" s="340"/>
      <c r="V3431" s="340"/>
      <c r="Z3431" s="340"/>
      <c r="AE3431" s="340"/>
      <c r="AI3431" s="340"/>
      <c r="AN3431" s="340"/>
      <c r="AO3431" s="340"/>
      <c r="AS3431" s="340"/>
      <c r="AX3431" s="340"/>
      <c r="BB3431" s="340"/>
      <c r="BD3431" s="339"/>
    </row>
    <row r="3432" spans="7:56" s="338" customFormat="1">
      <c r="G3432" s="340"/>
      <c r="L3432" s="340"/>
      <c r="P3432" s="340"/>
      <c r="U3432" s="340"/>
      <c r="V3432" s="340"/>
      <c r="Z3432" s="340"/>
      <c r="AE3432" s="340"/>
      <c r="AI3432" s="340"/>
      <c r="AN3432" s="340"/>
      <c r="AO3432" s="340"/>
      <c r="AS3432" s="340"/>
      <c r="AX3432" s="340"/>
      <c r="BB3432" s="340"/>
      <c r="BD3432" s="339"/>
    </row>
    <row r="3433" spans="7:56" s="338" customFormat="1">
      <c r="G3433" s="340"/>
      <c r="L3433" s="340"/>
      <c r="P3433" s="340"/>
      <c r="U3433" s="340"/>
      <c r="V3433" s="340"/>
      <c r="Z3433" s="340"/>
      <c r="AE3433" s="340"/>
      <c r="AI3433" s="340"/>
      <c r="AN3433" s="340"/>
      <c r="AO3433" s="340"/>
      <c r="AS3433" s="340"/>
      <c r="AX3433" s="340"/>
      <c r="BB3433" s="340"/>
      <c r="BD3433" s="339"/>
    </row>
    <row r="3434" spans="7:56" s="338" customFormat="1">
      <c r="G3434" s="340"/>
      <c r="L3434" s="340"/>
      <c r="P3434" s="340"/>
      <c r="U3434" s="340"/>
      <c r="V3434" s="340"/>
      <c r="Z3434" s="340"/>
      <c r="AE3434" s="340"/>
      <c r="AI3434" s="340"/>
      <c r="AN3434" s="340"/>
      <c r="AO3434" s="340"/>
      <c r="AS3434" s="340"/>
      <c r="AX3434" s="340"/>
      <c r="BB3434" s="340"/>
      <c r="BD3434" s="339"/>
    </row>
    <row r="3435" spans="7:56" s="338" customFormat="1">
      <c r="G3435" s="340"/>
      <c r="L3435" s="340"/>
      <c r="P3435" s="340"/>
      <c r="U3435" s="340"/>
      <c r="V3435" s="340"/>
      <c r="Z3435" s="340"/>
      <c r="AE3435" s="340"/>
      <c r="AI3435" s="340"/>
      <c r="AN3435" s="340"/>
      <c r="AO3435" s="340"/>
      <c r="AS3435" s="340"/>
      <c r="AX3435" s="340"/>
      <c r="BB3435" s="340"/>
      <c r="BD3435" s="339"/>
    </row>
    <row r="3436" spans="7:56" s="338" customFormat="1">
      <c r="G3436" s="340"/>
      <c r="L3436" s="340"/>
      <c r="P3436" s="340"/>
      <c r="U3436" s="340"/>
      <c r="V3436" s="340"/>
      <c r="Z3436" s="340"/>
      <c r="AE3436" s="340"/>
      <c r="AI3436" s="340"/>
      <c r="AN3436" s="340"/>
      <c r="AO3436" s="340"/>
      <c r="AS3436" s="340"/>
      <c r="AX3436" s="340"/>
      <c r="BB3436" s="340"/>
      <c r="BD3436" s="339"/>
    </row>
    <row r="3437" spans="7:56" s="338" customFormat="1">
      <c r="G3437" s="340"/>
      <c r="L3437" s="340"/>
      <c r="P3437" s="340"/>
      <c r="U3437" s="340"/>
      <c r="V3437" s="340"/>
      <c r="Z3437" s="340"/>
      <c r="AE3437" s="340"/>
      <c r="AI3437" s="340"/>
      <c r="AN3437" s="340"/>
      <c r="AO3437" s="340"/>
      <c r="AS3437" s="340"/>
      <c r="AX3437" s="340"/>
      <c r="BB3437" s="340"/>
      <c r="BD3437" s="339"/>
    </row>
    <row r="3438" spans="7:56" s="338" customFormat="1">
      <c r="G3438" s="340"/>
      <c r="L3438" s="340"/>
      <c r="P3438" s="340"/>
      <c r="U3438" s="340"/>
      <c r="V3438" s="340"/>
      <c r="Z3438" s="340"/>
      <c r="AE3438" s="340"/>
      <c r="AI3438" s="340"/>
      <c r="AN3438" s="340"/>
      <c r="AO3438" s="340"/>
      <c r="AS3438" s="340"/>
      <c r="AX3438" s="340"/>
      <c r="BB3438" s="340"/>
      <c r="BD3438" s="339"/>
    </row>
    <row r="3439" spans="7:56" s="338" customFormat="1">
      <c r="G3439" s="340"/>
      <c r="L3439" s="340"/>
      <c r="P3439" s="340"/>
      <c r="U3439" s="340"/>
      <c r="V3439" s="340"/>
      <c r="Z3439" s="340"/>
      <c r="AE3439" s="340"/>
      <c r="AI3439" s="340"/>
      <c r="AN3439" s="340"/>
      <c r="AO3439" s="340"/>
      <c r="AS3439" s="340"/>
      <c r="AX3439" s="340"/>
      <c r="BB3439" s="340"/>
      <c r="BD3439" s="339"/>
    </row>
    <row r="3440" spans="7:56" s="338" customFormat="1">
      <c r="G3440" s="340"/>
      <c r="L3440" s="340"/>
      <c r="P3440" s="340"/>
      <c r="U3440" s="340"/>
      <c r="V3440" s="340"/>
      <c r="Z3440" s="340"/>
      <c r="AE3440" s="340"/>
      <c r="AI3440" s="340"/>
      <c r="AN3440" s="340"/>
      <c r="AO3440" s="340"/>
      <c r="AS3440" s="340"/>
      <c r="AX3440" s="340"/>
      <c r="BB3440" s="340"/>
      <c r="BD3440" s="339"/>
    </row>
    <row r="3441" spans="7:56" s="338" customFormat="1">
      <c r="G3441" s="340"/>
      <c r="L3441" s="340"/>
      <c r="P3441" s="340"/>
      <c r="U3441" s="340"/>
      <c r="V3441" s="340"/>
      <c r="Z3441" s="340"/>
      <c r="AE3441" s="340"/>
      <c r="AI3441" s="340"/>
      <c r="AN3441" s="340"/>
      <c r="AO3441" s="340"/>
      <c r="AS3441" s="340"/>
      <c r="AX3441" s="340"/>
      <c r="BB3441" s="340"/>
      <c r="BD3441" s="339"/>
    </row>
    <row r="3442" spans="7:56" s="338" customFormat="1">
      <c r="G3442" s="340"/>
      <c r="L3442" s="340"/>
      <c r="P3442" s="340"/>
      <c r="U3442" s="340"/>
      <c r="V3442" s="340"/>
      <c r="Z3442" s="340"/>
      <c r="AE3442" s="340"/>
      <c r="AI3442" s="340"/>
      <c r="AN3442" s="340"/>
      <c r="AO3442" s="340"/>
      <c r="AS3442" s="340"/>
      <c r="AX3442" s="340"/>
      <c r="BB3442" s="340"/>
      <c r="BD3442" s="339"/>
    </row>
    <row r="3443" spans="7:56" s="338" customFormat="1">
      <c r="G3443" s="340"/>
      <c r="L3443" s="340"/>
      <c r="P3443" s="340"/>
      <c r="U3443" s="340"/>
      <c r="V3443" s="340"/>
      <c r="Z3443" s="340"/>
      <c r="AE3443" s="340"/>
      <c r="AI3443" s="340"/>
      <c r="AN3443" s="340"/>
      <c r="AO3443" s="340"/>
      <c r="AS3443" s="340"/>
      <c r="AX3443" s="340"/>
      <c r="BB3443" s="340"/>
      <c r="BD3443" s="339"/>
    </row>
    <row r="3444" spans="7:56" s="338" customFormat="1">
      <c r="G3444" s="340"/>
      <c r="L3444" s="340"/>
      <c r="P3444" s="340"/>
      <c r="U3444" s="340"/>
      <c r="V3444" s="340"/>
      <c r="Z3444" s="340"/>
      <c r="AE3444" s="340"/>
      <c r="AI3444" s="340"/>
      <c r="AN3444" s="340"/>
      <c r="AO3444" s="340"/>
      <c r="AS3444" s="340"/>
      <c r="AX3444" s="340"/>
      <c r="BB3444" s="340"/>
      <c r="BD3444" s="339"/>
    </row>
    <row r="3445" spans="7:56" s="338" customFormat="1">
      <c r="G3445" s="340"/>
      <c r="L3445" s="340"/>
      <c r="P3445" s="340"/>
      <c r="U3445" s="340"/>
      <c r="V3445" s="340"/>
      <c r="Z3445" s="340"/>
      <c r="AE3445" s="340"/>
      <c r="AI3445" s="340"/>
      <c r="AN3445" s="340"/>
      <c r="AO3445" s="340"/>
      <c r="AS3445" s="340"/>
      <c r="AX3445" s="340"/>
      <c r="BB3445" s="340"/>
      <c r="BD3445" s="339"/>
    </row>
    <row r="3446" spans="7:56" s="338" customFormat="1">
      <c r="G3446" s="340"/>
      <c r="L3446" s="340"/>
      <c r="P3446" s="340"/>
      <c r="U3446" s="340"/>
      <c r="V3446" s="340"/>
      <c r="Z3446" s="340"/>
      <c r="AE3446" s="340"/>
      <c r="AI3446" s="340"/>
      <c r="AN3446" s="340"/>
      <c r="AO3446" s="340"/>
      <c r="AS3446" s="340"/>
      <c r="AX3446" s="340"/>
      <c r="BB3446" s="340"/>
      <c r="BD3446" s="339"/>
    </row>
    <row r="3447" spans="7:56" s="338" customFormat="1">
      <c r="G3447" s="340"/>
      <c r="L3447" s="340"/>
      <c r="P3447" s="340"/>
      <c r="U3447" s="340"/>
      <c r="V3447" s="340"/>
      <c r="Z3447" s="340"/>
      <c r="AE3447" s="340"/>
      <c r="AI3447" s="340"/>
      <c r="AN3447" s="340"/>
      <c r="AO3447" s="340"/>
      <c r="AS3447" s="340"/>
      <c r="AX3447" s="340"/>
      <c r="BB3447" s="340"/>
      <c r="BD3447" s="339"/>
    </row>
    <row r="3448" spans="7:56" s="338" customFormat="1">
      <c r="G3448" s="340"/>
      <c r="L3448" s="340"/>
      <c r="P3448" s="340"/>
      <c r="U3448" s="340"/>
      <c r="V3448" s="340"/>
      <c r="Z3448" s="340"/>
      <c r="AE3448" s="340"/>
      <c r="AI3448" s="340"/>
      <c r="AN3448" s="340"/>
      <c r="AO3448" s="340"/>
      <c r="AS3448" s="340"/>
      <c r="AX3448" s="340"/>
      <c r="BB3448" s="340"/>
      <c r="BD3448" s="339"/>
    </row>
    <row r="3449" spans="7:56" s="338" customFormat="1">
      <c r="G3449" s="340"/>
      <c r="L3449" s="340"/>
      <c r="P3449" s="340"/>
      <c r="U3449" s="340"/>
      <c r="V3449" s="340"/>
      <c r="Z3449" s="340"/>
      <c r="AE3449" s="340"/>
      <c r="AI3449" s="340"/>
      <c r="AN3449" s="340"/>
      <c r="AO3449" s="340"/>
      <c r="AS3449" s="340"/>
      <c r="AX3449" s="340"/>
      <c r="BB3449" s="340"/>
      <c r="BD3449" s="339"/>
    </row>
    <row r="3450" spans="7:56" s="338" customFormat="1">
      <c r="G3450" s="340"/>
      <c r="L3450" s="340"/>
      <c r="P3450" s="340"/>
      <c r="U3450" s="340"/>
      <c r="V3450" s="340"/>
      <c r="Z3450" s="340"/>
      <c r="AE3450" s="340"/>
      <c r="AI3450" s="340"/>
      <c r="AN3450" s="340"/>
      <c r="AO3450" s="340"/>
      <c r="AS3450" s="340"/>
      <c r="AX3450" s="340"/>
      <c r="BB3450" s="340"/>
      <c r="BD3450" s="339"/>
    </row>
    <row r="3451" spans="7:56" s="338" customFormat="1">
      <c r="G3451" s="340"/>
      <c r="L3451" s="340"/>
      <c r="P3451" s="340"/>
      <c r="U3451" s="340"/>
      <c r="V3451" s="340"/>
      <c r="Z3451" s="340"/>
      <c r="AE3451" s="340"/>
      <c r="AI3451" s="340"/>
      <c r="AN3451" s="340"/>
      <c r="AO3451" s="340"/>
      <c r="AS3451" s="340"/>
      <c r="AX3451" s="340"/>
      <c r="BB3451" s="340"/>
      <c r="BD3451" s="339"/>
    </row>
    <row r="3452" spans="7:56" s="338" customFormat="1">
      <c r="G3452" s="340"/>
      <c r="L3452" s="340"/>
      <c r="P3452" s="340"/>
      <c r="U3452" s="340"/>
      <c r="V3452" s="340"/>
      <c r="Z3452" s="340"/>
      <c r="AE3452" s="340"/>
      <c r="AI3452" s="340"/>
      <c r="AN3452" s="340"/>
      <c r="AO3452" s="340"/>
      <c r="AS3452" s="340"/>
      <c r="AX3452" s="340"/>
      <c r="BB3452" s="340"/>
      <c r="BD3452" s="339"/>
    </row>
    <row r="3453" spans="7:56" s="338" customFormat="1">
      <c r="G3453" s="340"/>
      <c r="L3453" s="340"/>
      <c r="P3453" s="340"/>
      <c r="U3453" s="340"/>
      <c r="V3453" s="340"/>
      <c r="Z3453" s="340"/>
      <c r="AE3453" s="340"/>
      <c r="AI3453" s="340"/>
      <c r="AN3453" s="340"/>
      <c r="AO3453" s="340"/>
      <c r="AS3453" s="340"/>
      <c r="AX3453" s="340"/>
      <c r="BB3453" s="340"/>
      <c r="BD3453" s="339"/>
    </row>
    <row r="3454" spans="7:56" s="338" customFormat="1">
      <c r="G3454" s="340"/>
      <c r="L3454" s="340"/>
      <c r="P3454" s="340"/>
      <c r="U3454" s="340"/>
      <c r="V3454" s="340"/>
      <c r="Z3454" s="340"/>
      <c r="AE3454" s="340"/>
      <c r="AI3454" s="340"/>
      <c r="AN3454" s="340"/>
      <c r="AO3454" s="340"/>
      <c r="AS3454" s="340"/>
      <c r="AX3454" s="340"/>
      <c r="BB3454" s="340"/>
      <c r="BD3454" s="339"/>
    </row>
    <row r="3455" spans="7:56" s="338" customFormat="1">
      <c r="G3455" s="340"/>
      <c r="L3455" s="340"/>
      <c r="P3455" s="340"/>
      <c r="U3455" s="340"/>
      <c r="V3455" s="340"/>
      <c r="Z3455" s="340"/>
      <c r="AE3455" s="340"/>
      <c r="AI3455" s="340"/>
      <c r="AN3455" s="340"/>
      <c r="AO3455" s="340"/>
      <c r="AS3455" s="340"/>
      <c r="AX3455" s="340"/>
      <c r="BB3455" s="340"/>
      <c r="BD3455" s="339"/>
    </row>
    <row r="3456" spans="7:56" s="338" customFormat="1">
      <c r="G3456" s="340"/>
      <c r="L3456" s="340"/>
      <c r="P3456" s="340"/>
      <c r="U3456" s="340"/>
      <c r="V3456" s="340"/>
      <c r="Z3456" s="340"/>
      <c r="AE3456" s="340"/>
      <c r="AI3456" s="340"/>
      <c r="AN3456" s="340"/>
      <c r="AO3456" s="340"/>
      <c r="AS3456" s="340"/>
      <c r="AX3456" s="340"/>
      <c r="BB3456" s="340"/>
      <c r="BD3456" s="339"/>
    </row>
    <row r="3457" spans="7:56" s="338" customFormat="1">
      <c r="G3457" s="340"/>
      <c r="L3457" s="340"/>
      <c r="P3457" s="340"/>
      <c r="U3457" s="340"/>
      <c r="V3457" s="340"/>
      <c r="Z3457" s="340"/>
      <c r="AE3457" s="340"/>
      <c r="AI3457" s="340"/>
      <c r="AN3457" s="340"/>
      <c r="AO3457" s="340"/>
      <c r="AS3457" s="340"/>
      <c r="AX3457" s="340"/>
      <c r="BB3457" s="340"/>
      <c r="BD3457" s="339"/>
    </row>
    <row r="3458" spans="7:56" s="338" customFormat="1">
      <c r="G3458" s="340"/>
      <c r="L3458" s="340"/>
      <c r="P3458" s="340"/>
      <c r="U3458" s="340"/>
      <c r="V3458" s="340"/>
      <c r="Z3458" s="340"/>
      <c r="AE3458" s="340"/>
      <c r="AI3458" s="340"/>
      <c r="AN3458" s="340"/>
      <c r="AO3458" s="340"/>
      <c r="AS3458" s="340"/>
      <c r="AX3458" s="340"/>
      <c r="BB3458" s="340"/>
      <c r="BD3458" s="339"/>
    </row>
    <row r="3459" spans="7:56" s="338" customFormat="1">
      <c r="G3459" s="340"/>
      <c r="L3459" s="340"/>
      <c r="P3459" s="340"/>
      <c r="U3459" s="340"/>
      <c r="V3459" s="340"/>
      <c r="Z3459" s="340"/>
      <c r="AE3459" s="340"/>
      <c r="AI3459" s="340"/>
      <c r="AN3459" s="340"/>
      <c r="AO3459" s="340"/>
      <c r="AS3459" s="340"/>
      <c r="AX3459" s="340"/>
      <c r="BB3459" s="340"/>
      <c r="BD3459" s="339"/>
    </row>
    <row r="3460" spans="7:56" s="338" customFormat="1">
      <c r="G3460" s="340"/>
      <c r="L3460" s="340"/>
      <c r="P3460" s="340"/>
      <c r="U3460" s="340"/>
      <c r="V3460" s="340"/>
      <c r="Z3460" s="340"/>
      <c r="AE3460" s="340"/>
      <c r="AI3460" s="340"/>
      <c r="AN3460" s="340"/>
      <c r="AO3460" s="340"/>
      <c r="AS3460" s="340"/>
      <c r="AX3460" s="340"/>
      <c r="BB3460" s="340"/>
      <c r="BD3460" s="339"/>
    </row>
    <row r="3461" spans="7:56" s="338" customFormat="1">
      <c r="G3461" s="340"/>
      <c r="L3461" s="340"/>
      <c r="P3461" s="340"/>
      <c r="U3461" s="340"/>
      <c r="V3461" s="340"/>
      <c r="Z3461" s="340"/>
      <c r="AE3461" s="340"/>
      <c r="AI3461" s="340"/>
      <c r="AN3461" s="340"/>
      <c r="AO3461" s="340"/>
      <c r="AS3461" s="340"/>
      <c r="AX3461" s="340"/>
      <c r="BB3461" s="340"/>
      <c r="BD3461" s="339"/>
    </row>
    <row r="3462" spans="7:56" s="338" customFormat="1">
      <c r="G3462" s="340"/>
      <c r="L3462" s="340"/>
      <c r="P3462" s="340"/>
      <c r="U3462" s="340"/>
      <c r="V3462" s="340"/>
      <c r="Z3462" s="340"/>
      <c r="AE3462" s="340"/>
      <c r="AI3462" s="340"/>
      <c r="AN3462" s="340"/>
      <c r="AO3462" s="340"/>
      <c r="AS3462" s="340"/>
      <c r="AX3462" s="340"/>
      <c r="BB3462" s="340"/>
      <c r="BD3462" s="339"/>
    </row>
    <row r="3463" spans="7:56" s="338" customFormat="1">
      <c r="G3463" s="340"/>
      <c r="L3463" s="340"/>
      <c r="P3463" s="340"/>
      <c r="U3463" s="340"/>
      <c r="V3463" s="340"/>
      <c r="Z3463" s="340"/>
      <c r="AE3463" s="340"/>
      <c r="AI3463" s="340"/>
      <c r="AN3463" s="340"/>
      <c r="AO3463" s="340"/>
      <c r="AS3463" s="340"/>
      <c r="AX3463" s="340"/>
      <c r="BB3463" s="340"/>
      <c r="BD3463" s="339"/>
    </row>
    <row r="3464" spans="7:56" s="338" customFormat="1">
      <c r="G3464" s="340"/>
      <c r="L3464" s="340"/>
      <c r="P3464" s="340"/>
      <c r="U3464" s="340"/>
      <c r="V3464" s="340"/>
      <c r="Z3464" s="340"/>
      <c r="AE3464" s="340"/>
      <c r="AI3464" s="340"/>
      <c r="AN3464" s="340"/>
      <c r="AO3464" s="340"/>
      <c r="AS3464" s="340"/>
      <c r="AX3464" s="340"/>
      <c r="BB3464" s="340"/>
      <c r="BD3464" s="339"/>
    </row>
    <row r="3465" spans="7:56" s="338" customFormat="1">
      <c r="G3465" s="340"/>
      <c r="L3465" s="340"/>
      <c r="P3465" s="340"/>
      <c r="U3465" s="340"/>
      <c r="V3465" s="340"/>
      <c r="Z3465" s="340"/>
      <c r="AE3465" s="340"/>
      <c r="AI3465" s="340"/>
      <c r="AN3465" s="340"/>
      <c r="AO3465" s="340"/>
      <c r="AS3465" s="340"/>
      <c r="AX3465" s="340"/>
      <c r="BB3465" s="340"/>
      <c r="BD3465" s="339"/>
    </row>
    <row r="3466" spans="7:56" s="338" customFormat="1">
      <c r="G3466" s="340"/>
      <c r="L3466" s="340"/>
      <c r="P3466" s="340"/>
      <c r="U3466" s="340"/>
      <c r="V3466" s="340"/>
      <c r="Z3466" s="340"/>
      <c r="AE3466" s="340"/>
      <c r="AI3466" s="340"/>
      <c r="AN3466" s="340"/>
      <c r="AO3466" s="340"/>
      <c r="AS3466" s="340"/>
      <c r="AX3466" s="340"/>
      <c r="BB3466" s="340"/>
      <c r="BD3466" s="339"/>
    </row>
    <row r="3467" spans="7:56" s="338" customFormat="1">
      <c r="G3467" s="340"/>
      <c r="L3467" s="340"/>
      <c r="P3467" s="340"/>
      <c r="U3467" s="340"/>
      <c r="V3467" s="340"/>
      <c r="Z3467" s="340"/>
      <c r="AE3467" s="340"/>
      <c r="AI3467" s="340"/>
      <c r="AN3467" s="340"/>
      <c r="AO3467" s="340"/>
      <c r="AS3467" s="340"/>
      <c r="AX3467" s="340"/>
      <c r="BB3467" s="340"/>
      <c r="BD3467" s="339"/>
    </row>
    <row r="3468" spans="7:56" s="338" customFormat="1">
      <c r="G3468" s="340"/>
      <c r="L3468" s="340"/>
      <c r="P3468" s="340"/>
      <c r="U3468" s="340"/>
      <c r="V3468" s="340"/>
      <c r="Z3468" s="340"/>
      <c r="AE3468" s="340"/>
      <c r="AI3468" s="340"/>
      <c r="AN3468" s="340"/>
      <c r="AO3468" s="340"/>
      <c r="AS3468" s="340"/>
      <c r="AX3468" s="340"/>
      <c r="BB3468" s="340"/>
      <c r="BD3468" s="339"/>
    </row>
    <row r="3469" spans="7:56" s="338" customFormat="1">
      <c r="G3469" s="340"/>
      <c r="L3469" s="340"/>
      <c r="P3469" s="340"/>
      <c r="U3469" s="340"/>
      <c r="V3469" s="340"/>
      <c r="Z3469" s="340"/>
      <c r="AE3469" s="340"/>
      <c r="AI3469" s="340"/>
      <c r="AN3469" s="340"/>
      <c r="AO3469" s="340"/>
      <c r="AS3469" s="340"/>
      <c r="AX3469" s="340"/>
      <c r="BB3469" s="340"/>
      <c r="BD3469" s="339"/>
    </row>
    <row r="3470" spans="7:56" s="338" customFormat="1">
      <c r="G3470" s="340"/>
      <c r="L3470" s="340"/>
      <c r="P3470" s="340"/>
      <c r="U3470" s="340"/>
      <c r="V3470" s="340"/>
      <c r="Z3470" s="340"/>
      <c r="AE3470" s="340"/>
      <c r="AI3470" s="340"/>
      <c r="AN3470" s="340"/>
      <c r="AO3470" s="340"/>
      <c r="AS3470" s="340"/>
      <c r="AX3470" s="340"/>
      <c r="BB3470" s="340"/>
      <c r="BD3470" s="339"/>
    </row>
    <row r="3471" spans="7:56" s="338" customFormat="1">
      <c r="G3471" s="340"/>
      <c r="L3471" s="340"/>
      <c r="P3471" s="340"/>
      <c r="U3471" s="340"/>
      <c r="V3471" s="340"/>
      <c r="Z3471" s="340"/>
      <c r="AE3471" s="340"/>
      <c r="AI3471" s="340"/>
      <c r="AN3471" s="340"/>
      <c r="AO3471" s="340"/>
      <c r="AS3471" s="340"/>
      <c r="AX3471" s="340"/>
      <c r="BB3471" s="340"/>
      <c r="BD3471" s="339"/>
    </row>
    <row r="3472" spans="7:56" s="338" customFormat="1">
      <c r="G3472" s="340"/>
      <c r="L3472" s="340"/>
      <c r="P3472" s="340"/>
      <c r="U3472" s="340"/>
      <c r="V3472" s="340"/>
      <c r="Z3472" s="340"/>
      <c r="AE3472" s="340"/>
      <c r="AI3472" s="340"/>
      <c r="AN3472" s="340"/>
      <c r="AO3472" s="340"/>
      <c r="AS3472" s="340"/>
      <c r="AX3472" s="340"/>
      <c r="BB3472" s="340"/>
      <c r="BD3472" s="339"/>
    </row>
    <row r="3473" spans="7:56" s="338" customFormat="1">
      <c r="G3473" s="340"/>
      <c r="L3473" s="340"/>
      <c r="P3473" s="340"/>
      <c r="U3473" s="340"/>
      <c r="V3473" s="340"/>
      <c r="Z3473" s="340"/>
      <c r="AE3473" s="340"/>
      <c r="AI3473" s="340"/>
      <c r="AN3473" s="340"/>
      <c r="AO3473" s="340"/>
      <c r="AS3473" s="340"/>
      <c r="AX3473" s="340"/>
      <c r="BB3473" s="340"/>
      <c r="BD3473" s="339"/>
    </row>
    <row r="3474" spans="7:56" s="338" customFormat="1">
      <c r="G3474" s="340"/>
      <c r="L3474" s="340"/>
      <c r="P3474" s="340"/>
      <c r="U3474" s="340"/>
      <c r="V3474" s="340"/>
      <c r="Z3474" s="340"/>
      <c r="AE3474" s="340"/>
      <c r="AI3474" s="340"/>
      <c r="AN3474" s="340"/>
      <c r="AO3474" s="340"/>
      <c r="AS3474" s="340"/>
      <c r="AX3474" s="340"/>
      <c r="BB3474" s="340"/>
      <c r="BD3474" s="339"/>
    </row>
    <row r="3475" spans="7:56" s="338" customFormat="1">
      <c r="G3475" s="340"/>
      <c r="L3475" s="340"/>
      <c r="P3475" s="340"/>
      <c r="U3475" s="340"/>
      <c r="V3475" s="340"/>
      <c r="Z3475" s="340"/>
      <c r="AE3475" s="340"/>
      <c r="AI3475" s="340"/>
      <c r="AN3475" s="340"/>
      <c r="AO3475" s="340"/>
      <c r="AS3475" s="340"/>
      <c r="AX3475" s="340"/>
      <c r="BB3475" s="340"/>
      <c r="BD3475" s="339"/>
    </row>
    <row r="3476" spans="7:56" s="338" customFormat="1">
      <c r="G3476" s="340"/>
      <c r="L3476" s="340"/>
      <c r="P3476" s="340"/>
      <c r="U3476" s="340"/>
      <c r="V3476" s="340"/>
      <c r="Z3476" s="340"/>
      <c r="AE3476" s="340"/>
      <c r="AI3476" s="340"/>
      <c r="AN3476" s="340"/>
      <c r="AO3476" s="340"/>
      <c r="AS3476" s="340"/>
      <c r="AX3476" s="340"/>
      <c r="BB3476" s="340"/>
      <c r="BD3476" s="339"/>
    </row>
    <row r="3477" spans="7:56" s="338" customFormat="1">
      <c r="G3477" s="340"/>
      <c r="L3477" s="340"/>
      <c r="P3477" s="340"/>
      <c r="U3477" s="340"/>
      <c r="V3477" s="340"/>
      <c r="Z3477" s="340"/>
      <c r="AE3477" s="340"/>
      <c r="AI3477" s="340"/>
      <c r="AN3477" s="340"/>
      <c r="AO3477" s="340"/>
      <c r="AS3477" s="340"/>
      <c r="AX3477" s="340"/>
      <c r="BB3477" s="340"/>
      <c r="BD3477" s="339"/>
    </row>
    <row r="3478" spans="7:56" s="338" customFormat="1">
      <c r="G3478" s="340"/>
      <c r="L3478" s="340"/>
      <c r="P3478" s="340"/>
      <c r="U3478" s="340"/>
      <c r="V3478" s="340"/>
      <c r="Z3478" s="340"/>
      <c r="AE3478" s="340"/>
      <c r="AI3478" s="340"/>
      <c r="AN3478" s="340"/>
      <c r="AO3478" s="340"/>
      <c r="AS3478" s="340"/>
      <c r="AX3478" s="340"/>
      <c r="BB3478" s="340"/>
      <c r="BD3478" s="339"/>
    </row>
    <row r="3479" spans="7:56" s="338" customFormat="1">
      <c r="G3479" s="340"/>
      <c r="L3479" s="340"/>
      <c r="P3479" s="340"/>
      <c r="U3479" s="340"/>
      <c r="V3479" s="340"/>
      <c r="Z3479" s="340"/>
      <c r="AE3479" s="340"/>
      <c r="AI3479" s="340"/>
      <c r="AN3479" s="340"/>
      <c r="AO3479" s="340"/>
      <c r="AS3479" s="340"/>
      <c r="AX3479" s="340"/>
      <c r="BB3479" s="340"/>
      <c r="BD3479" s="339"/>
    </row>
    <row r="3480" spans="7:56" s="338" customFormat="1">
      <c r="G3480" s="340"/>
      <c r="L3480" s="340"/>
      <c r="P3480" s="340"/>
      <c r="U3480" s="340"/>
      <c r="V3480" s="340"/>
      <c r="Z3480" s="340"/>
      <c r="AE3480" s="340"/>
      <c r="AI3480" s="340"/>
      <c r="AN3480" s="340"/>
      <c r="AO3480" s="340"/>
      <c r="AS3480" s="340"/>
      <c r="AX3480" s="340"/>
      <c r="BB3480" s="340"/>
      <c r="BD3480" s="339"/>
    </row>
    <row r="3481" spans="7:56" s="338" customFormat="1">
      <c r="G3481" s="340"/>
      <c r="L3481" s="340"/>
      <c r="P3481" s="340"/>
      <c r="U3481" s="340"/>
      <c r="V3481" s="340"/>
      <c r="Z3481" s="340"/>
      <c r="AE3481" s="340"/>
      <c r="AI3481" s="340"/>
      <c r="AN3481" s="340"/>
      <c r="AO3481" s="340"/>
      <c r="AS3481" s="340"/>
      <c r="AX3481" s="340"/>
      <c r="BB3481" s="340"/>
      <c r="BD3481" s="339"/>
    </row>
    <row r="3482" spans="7:56" s="338" customFormat="1">
      <c r="G3482" s="340"/>
      <c r="L3482" s="340"/>
      <c r="P3482" s="340"/>
      <c r="U3482" s="340"/>
      <c r="V3482" s="340"/>
      <c r="Z3482" s="340"/>
      <c r="AE3482" s="340"/>
      <c r="AI3482" s="340"/>
      <c r="AN3482" s="340"/>
      <c r="AO3482" s="340"/>
      <c r="AS3482" s="340"/>
      <c r="AX3482" s="340"/>
      <c r="BB3482" s="340"/>
      <c r="BD3482" s="339"/>
    </row>
    <row r="3483" spans="7:56" s="338" customFormat="1">
      <c r="G3483" s="340"/>
      <c r="L3483" s="340"/>
      <c r="P3483" s="340"/>
      <c r="U3483" s="340"/>
      <c r="V3483" s="340"/>
      <c r="Z3483" s="340"/>
      <c r="AE3483" s="340"/>
      <c r="AI3483" s="340"/>
      <c r="AN3483" s="340"/>
      <c r="AO3483" s="340"/>
      <c r="AS3483" s="340"/>
      <c r="AX3483" s="340"/>
      <c r="BB3483" s="340"/>
      <c r="BD3483" s="339"/>
    </row>
    <row r="3484" spans="7:56" s="338" customFormat="1">
      <c r="G3484" s="340"/>
      <c r="L3484" s="340"/>
      <c r="P3484" s="340"/>
      <c r="U3484" s="340"/>
      <c r="V3484" s="340"/>
      <c r="Z3484" s="340"/>
      <c r="AE3484" s="340"/>
      <c r="AI3484" s="340"/>
      <c r="AN3484" s="340"/>
      <c r="AO3484" s="340"/>
      <c r="AS3484" s="340"/>
      <c r="AX3484" s="340"/>
      <c r="BB3484" s="340"/>
      <c r="BD3484" s="339"/>
    </row>
    <row r="3485" spans="7:56" s="338" customFormat="1">
      <c r="G3485" s="340"/>
      <c r="L3485" s="340"/>
      <c r="P3485" s="340"/>
      <c r="U3485" s="340"/>
      <c r="V3485" s="340"/>
      <c r="Z3485" s="340"/>
      <c r="AE3485" s="340"/>
      <c r="AI3485" s="340"/>
      <c r="AN3485" s="340"/>
      <c r="AO3485" s="340"/>
      <c r="AS3485" s="340"/>
      <c r="AX3485" s="340"/>
      <c r="BB3485" s="340"/>
      <c r="BD3485" s="339"/>
    </row>
    <row r="3486" spans="7:56" s="338" customFormat="1">
      <c r="G3486" s="340"/>
      <c r="L3486" s="340"/>
      <c r="P3486" s="340"/>
      <c r="U3486" s="340"/>
      <c r="V3486" s="340"/>
      <c r="Z3486" s="340"/>
      <c r="AE3486" s="340"/>
      <c r="AI3486" s="340"/>
      <c r="AN3486" s="340"/>
      <c r="AO3486" s="340"/>
      <c r="AS3486" s="340"/>
      <c r="AX3486" s="340"/>
      <c r="BB3486" s="340"/>
      <c r="BD3486" s="339"/>
    </row>
    <row r="3487" spans="7:56" s="338" customFormat="1">
      <c r="G3487" s="340"/>
      <c r="L3487" s="340"/>
      <c r="P3487" s="340"/>
      <c r="U3487" s="340"/>
      <c r="V3487" s="340"/>
      <c r="Z3487" s="340"/>
      <c r="AE3487" s="340"/>
      <c r="AI3487" s="340"/>
      <c r="AN3487" s="340"/>
      <c r="AO3487" s="340"/>
      <c r="AS3487" s="340"/>
      <c r="AX3487" s="340"/>
      <c r="BB3487" s="340"/>
      <c r="BD3487" s="339"/>
    </row>
    <row r="3488" spans="7:56" s="338" customFormat="1">
      <c r="G3488" s="340"/>
      <c r="L3488" s="340"/>
      <c r="P3488" s="340"/>
      <c r="U3488" s="340"/>
      <c r="V3488" s="340"/>
      <c r="Z3488" s="340"/>
      <c r="AE3488" s="340"/>
      <c r="AI3488" s="340"/>
      <c r="AN3488" s="340"/>
      <c r="AO3488" s="340"/>
      <c r="AS3488" s="340"/>
      <c r="AX3488" s="340"/>
      <c r="BB3488" s="340"/>
      <c r="BD3488" s="339"/>
    </row>
    <row r="3489" spans="7:56" s="338" customFormat="1">
      <c r="G3489" s="340"/>
      <c r="L3489" s="340"/>
      <c r="P3489" s="340"/>
      <c r="U3489" s="340"/>
      <c r="V3489" s="340"/>
      <c r="Z3489" s="340"/>
      <c r="AE3489" s="340"/>
      <c r="AI3489" s="340"/>
      <c r="AN3489" s="340"/>
      <c r="AO3489" s="340"/>
      <c r="AS3489" s="340"/>
      <c r="AX3489" s="340"/>
      <c r="BB3489" s="340"/>
      <c r="BD3489" s="339"/>
    </row>
    <row r="3490" spans="7:56" s="338" customFormat="1">
      <c r="G3490" s="340"/>
      <c r="L3490" s="340"/>
      <c r="P3490" s="340"/>
      <c r="U3490" s="340"/>
      <c r="V3490" s="340"/>
      <c r="Z3490" s="340"/>
      <c r="AE3490" s="340"/>
      <c r="AI3490" s="340"/>
      <c r="AN3490" s="340"/>
      <c r="AO3490" s="340"/>
      <c r="AS3490" s="340"/>
      <c r="AX3490" s="340"/>
      <c r="BB3490" s="340"/>
      <c r="BD3490" s="339"/>
    </row>
    <row r="3491" spans="7:56" s="338" customFormat="1">
      <c r="G3491" s="340"/>
      <c r="L3491" s="340"/>
      <c r="P3491" s="340"/>
      <c r="U3491" s="340"/>
      <c r="V3491" s="340"/>
      <c r="Z3491" s="340"/>
      <c r="AE3491" s="340"/>
      <c r="AI3491" s="340"/>
      <c r="AN3491" s="340"/>
      <c r="AO3491" s="340"/>
      <c r="AS3491" s="340"/>
      <c r="AX3491" s="340"/>
      <c r="BB3491" s="340"/>
      <c r="BD3491" s="339"/>
    </row>
    <row r="3492" spans="7:56" s="338" customFormat="1">
      <c r="G3492" s="340"/>
      <c r="L3492" s="340"/>
      <c r="P3492" s="340"/>
      <c r="U3492" s="340"/>
      <c r="V3492" s="340"/>
      <c r="Z3492" s="340"/>
      <c r="AE3492" s="340"/>
      <c r="AI3492" s="340"/>
      <c r="AN3492" s="340"/>
      <c r="AO3492" s="340"/>
      <c r="AS3492" s="340"/>
      <c r="AX3492" s="340"/>
      <c r="BB3492" s="340"/>
      <c r="BD3492" s="339"/>
    </row>
    <row r="3493" spans="7:56" s="338" customFormat="1">
      <c r="G3493" s="340"/>
      <c r="L3493" s="340"/>
      <c r="P3493" s="340"/>
      <c r="U3493" s="340"/>
      <c r="V3493" s="340"/>
      <c r="Z3493" s="340"/>
      <c r="AE3493" s="340"/>
      <c r="AI3493" s="340"/>
      <c r="AN3493" s="340"/>
      <c r="AO3493" s="340"/>
      <c r="AS3493" s="340"/>
      <c r="AX3493" s="340"/>
      <c r="BB3493" s="340"/>
      <c r="BD3493" s="339"/>
    </row>
    <row r="3494" spans="7:56" s="338" customFormat="1">
      <c r="G3494" s="340"/>
      <c r="L3494" s="340"/>
      <c r="P3494" s="340"/>
      <c r="U3494" s="340"/>
      <c r="V3494" s="340"/>
      <c r="Z3494" s="340"/>
      <c r="AE3494" s="340"/>
      <c r="AI3494" s="340"/>
      <c r="AN3494" s="340"/>
      <c r="AO3494" s="340"/>
      <c r="AS3494" s="340"/>
      <c r="AX3494" s="340"/>
      <c r="BB3494" s="340"/>
      <c r="BD3494" s="339"/>
    </row>
    <row r="3495" spans="7:56" s="338" customFormat="1">
      <c r="G3495" s="340"/>
      <c r="L3495" s="340"/>
      <c r="P3495" s="340"/>
      <c r="U3495" s="340"/>
      <c r="V3495" s="340"/>
      <c r="Z3495" s="340"/>
      <c r="AE3495" s="340"/>
      <c r="AI3495" s="340"/>
      <c r="AN3495" s="340"/>
      <c r="AO3495" s="340"/>
      <c r="AS3495" s="340"/>
      <c r="AX3495" s="340"/>
      <c r="BB3495" s="340"/>
      <c r="BD3495" s="339"/>
    </row>
    <row r="3496" spans="7:56" s="338" customFormat="1">
      <c r="G3496" s="340"/>
      <c r="L3496" s="340"/>
      <c r="P3496" s="340"/>
      <c r="U3496" s="340"/>
      <c r="V3496" s="340"/>
      <c r="Z3496" s="340"/>
      <c r="AE3496" s="340"/>
      <c r="AI3496" s="340"/>
      <c r="AN3496" s="340"/>
      <c r="AO3496" s="340"/>
      <c r="AS3496" s="340"/>
      <c r="AX3496" s="340"/>
      <c r="BB3496" s="340"/>
      <c r="BD3496" s="339"/>
    </row>
    <row r="3497" spans="7:56" s="338" customFormat="1">
      <c r="G3497" s="340"/>
      <c r="L3497" s="340"/>
      <c r="P3497" s="340"/>
      <c r="U3497" s="340"/>
      <c r="V3497" s="340"/>
      <c r="Z3497" s="340"/>
      <c r="AE3497" s="340"/>
      <c r="AI3497" s="340"/>
      <c r="AN3497" s="340"/>
      <c r="AO3497" s="340"/>
      <c r="AS3497" s="340"/>
      <c r="AX3497" s="340"/>
      <c r="BB3497" s="340"/>
      <c r="BD3497" s="339"/>
    </row>
    <row r="3498" spans="7:56" s="338" customFormat="1">
      <c r="G3498" s="340"/>
      <c r="L3498" s="340"/>
      <c r="P3498" s="340"/>
      <c r="U3498" s="340"/>
      <c r="V3498" s="340"/>
      <c r="Z3498" s="340"/>
      <c r="AE3498" s="340"/>
      <c r="AI3498" s="340"/>
      <c r="AN3498" s="340"/>
      <c r="AO3498" s="340"/>
      <c r="AS3498" s="340"/>
      <c r="AX3498" s="340"/>
      <c r="BB3498" s="340"/>
      <c r="BD3498" s="339"/>
    </row>
    <row r="3499" spans="7:56" s="338" customFormat="1">
      <c r="G3499" s="340"/>
      <c r="L3499" s="340"/>
      <c r="P3499" s="340"/>
      <c r="U3499" s="340"/>
      <c r="V3499" s="340"/>
      <c r="Z3499" s="340"/>
      <c r="AE3499" s="340"/>
      <c r="AI3499" s="340"/>
      <c r="AN3499" s="340"/>
      <c r="AO3499" s="340"/>
      <c r="AS3499" s="340"/>
      <c r="AX3499" s="340"/>
      <c r="BB3499" s="340"/>
      <c r="BD3499" s="339"/>
    </row>
    <row r="3500" spans="7:56" s="338" customFormat="1">
      <c r="G3500" s="340"/>
      <c r="L3500" s="340"/>
      <c r="P3500" s="340"/>
      <c r="U3500" s="340"/>
      <c r="V3500" s="340"/>
      <c r="Z3500" s="340"/>
      <c r="AE3500" s="340"/>
      <c r="AI3500" s="340"/>
      <c r="AN3500" s="340"/>
      <c r="AO3500" s="340"/>
      <c r="AS3500" s="340"/>
      <c r="AX3500" s="340"/>
      <c r="BB3500" s="340"/>
      <c r="BD3500" s="339"/>
    </row>
    <row r="3501" spans="7:56" s="338" customFormat="1">
      <c r="G3501" s="340"/>
      <c r="L3501" s="340"/>
      <c r="P3501" s="340"/>
      <c r="U3501" s="340"/>
      <c r="V3501" s="340"/>
      <c r="Z3501" s="340"/>
      <c r="AE3501" s="340"/>
      <c r="AI3501" s="340"/>
      <c r="AN3501" s="340"/>
      <c r="AO3501" s="340"/>
      <c r="AS3501" s="340"/>
      <c r="AX3501" s="340"/>
      <c r="BB3501" s="340"/>
      <c r="BD3501" s="339"/>
    </row>
    <row r="3502" spans="7:56" s="338" customFormat="1">
      <c r="G3502" s="340"/>
      <c r="L3502" s="340"/>
      <c r="P3502" s="340"/>
      <c r="U3502" s="340"/>
      <c r="V3502" s="340"/>
      <c r="Z3502" s="340"/>
      <c r="AE3502" s="340"/>
      <c r="AI3502" s="340"/>
      <c r="AN3502" s="340"/>
      <c r="AO3502" s="340"/>
      <c r="AS3502" s="340"/>
      <c r="AX3502" s="340"/>
      <c r="BB3502" s="340"/>
      <c r="BD3502" s="339"/>
    </row>
    <row r="3503" spans="7:56" s="338" customFormat="1">
      <c r="G3503" s="340"/>
      <c r="L3503" s="340"/>
      <c r="P3503" s="340"/>
      <c r="U3503" s="340"/>
      <c r="V3503" s="340"/>
      <c r="Z3503" s="340"/>
      <c r="AE3503" s="340"/>
      <c r="AI3503" s="340"/>
      <c r="AN3503" s="340"/>
      <c r="AO3503" s="340"/>
      <c r="AS3503" s="340"/>
      <c r="AX3503" s="340"/>
      <c r="BB3503" s="340"/>
      <c r="BD3503" s="339"/>
    </row>
    <row r="3504" spans="7:56" s="338" customFormat="1">
      <c r="G3504" s="340"/>
      <c r="L3504" s="340"/>
      <c r="P3504" s="340"/>
      <c r="U3504" s="340"/>
      <c r="V3504" s="340"/>
      <c r="Z3504" s="340"/>
      <c r="AE3504" s="340"/>
      <c r="AI3504" s="340"/>
      <c r="AN3504" s="340"/>
      <c r="AO3504" s="340"/>
      <c r="AS3504" s="340"/>
      <c r="AX3504" s="340"/>
      <c r="BB3504" s="340"/>
      <c r="BD3504" s="339"/>
    </row>
    <row r="3505" spans="7:56" s="338" customFormat="1">
      <c r="G3505" s="340"/>
      <c r="L3505" s="340"/>
      <c r="P3505" s="340"/>
      <c r="U3505" s="340"/>
      <c r="V3505" s="340"/>
      <c r="Z3505" s="340"/>
      <c r="AE3505" s="340"/>
      <c r="AI3505" s="340"/>
      <c r="AN3505" s="340"/>
      <c r="AO3505" s="340"/>
      <c r="AS3505" s="340"/>
      <c r="AX3505" s="340"/>
      <c r="BB3505" s="340"/>
      <c r="BD3505" s="339"/>
    </row>
    <row r="3506" spans="7:56" s="338" customFormat="1">
      <c r="G3506" s="340"/>
      <c r="L3506" s="340"/>
      <c r="P3506" s="340"/>
      <c r="U3506" s="340"/>
      <c r="V3506" s="340"/>
      <c r="Z3506" s="340"/>
      <c r="AE3506" s="340"/>
      <c r="AI3506" s="340"/>
      <c r="AN3506" s="340"/>
      <c r="AO3506" s="340"/>
      <c r="AS3506" s="340"/>
      <c r="AX3506" s="340"/>
      <c r="BB3506" s="340"/>
      <c r="BD3506" s="339"/>
    </row>
    <row r="3507" spans="7:56" s="338" customFormat="1">
      <c r="G3507" s="340"/>
      <c r="L3507" s="340"/>
      <c r="P3507" s="340"/>
      <c r="U3507" s="340"/>
      <c r="V3507" s="340"/>
      <c r="Z3507" s="340"/>
      <c r="AE3507" s="340"/>
      <c r="AI3507" s="340"/>
      <c r="AN3507" s="340"/>
      <c r="AO3507" s="340"/>
      <c r="AS3507" s="340"/>
      <c r="AX3507" s="340"/>
      <c r="BB3507" s="340"/>
      <c r="BD3507" s="339"/>
    </row>
    <row r="3508" spans="7:56" s="338" customFormat="1">
      <c r="G3508" s="340"/>
      <c r="L3508" s="340"/>
      <c r="P3508" s="340"/>
      <c r="U3508" s="340"/>
      <c r="V3508" s="340"/>
      <c r="Z3508" s="340"/>
      <c r="AE3508" s="340"/>
      <c r="AI3508" s="340"/>
      <c r="AN3508" s="340"/>
      <c r="AO3508" s="340"/>
      <c r="AS3508" s="340"/>
      <c r="AX3508" s="340"/>
      <c r="BB3508" s="340"/>
      <c r="BD3508" s="339"/>
    </row>
    <row r="3509" spans="7:56" s="338" customFormat="1">
      <c r="G3509" s="340"/>
      <c r="L3509" s="340"/>
      <c r="P3509" s="340"/>
      <c r="U3509" s="340"/>
      <c r="V3509" s="340"/>
      <c r="Z3509" s="340"/>
      <c r="AE3509" s="340"/>
      <c r="AI3509" s="340"/>
      <c r="AN3509" s="340"/>
      <c r="AO3509" s="340"/>
      <c r="AS3509" s="340"/>
      <c r="AX3509" s="340"/>
      <c r="BB3509" s="340"/>
      <c r="BD3509" s="339"/>
    </row>
    <row r="3510" spans="7:56" s="338" customFormat="1">
      <c r="G3510" s="340"/>
      <c r="L3510" s="340"/>
      <c r="P3510" s="340"/>
      <c r="U3510" s="340"/>
      <c r="V3510" s="340"/>
      <c r="Z3510" s="340"/>
      <c r="AE3510" s="340"/>
      <c r="AI3510" s="340"/>
      <c r="AN3510" s="340"/>
      <c r="AO3510" s="340"/>
      <c r="AS3510" s="340"/>
      <c r="AX3510" s="340"/>
      <c r="BB3510" s="340"/>
      <c r="BD3510" s="339"/>
    </row>
    <row r="3511" spans="7:56" s="338" customFormat="1">
      <c r="G3511" s="340"/>
      <c r="L3511" s="340"/>
      <c r="P3511" s="340"/>
      <c r="U3511" s="340"/>
      <c r="V3511" s="340"/>
      <c r="Z3511" s="340"/>
      <c r="AE3511" s="340"/>
      <c r="AI3511" s="340"/>
      <c r="AN3511" s="340"/>
      <c r="AO3511" s="340"/>
      <c r="AS3511" s="340"/>
      <c r="AX3511" s="340"/>
      <c r="BB3511" s="340"/>
      <c r="BD3511" s="339"/>
    </row>
    <row r="3512" spans="7:56" s="338" customFormat="1">
      <c r="G3512" s="340"/>
      <c r="L3512" s="340"/>
      <c r="P3512" s="340"/>
      <c r="U3512" s="340"/>
      <c r="V3512" s="340"/>
      <c r="Z3512" s="340"/>
      <c r="AE3512" s="340"/>
      <c r="AI3512" s="340"/>
      <c r="AN3512" s="340"/>
      <c r="AO3512" s="340"/>
      <c r="AS3512" s="340"/>
      <c r="AX3512" s="340"/>
      <c r="BB3512" s="340"/>
      <c r="BD3512" s="339"/>
    </row>
    <row r="3513" spans="7:56" s="338" customFormat="1">
      <c r="G3513" s="340"/>
      <c r="L3513" s="340"/>
      <c r="P3513" s="340"/>
      <c r="U3513" s="340"/>
      <c r="V3513" s="340"/>
      <c r="Z3513" s="340"/>
      <c r="AE3513" s="340"/>
      <c r="AI3513" s="340"/>
      <c r="AN3513" s="340"/>
      <c r="AO3513" s="340"/>
      <c r="AS3513" s="340"/>
      <c r="AX3513" s="340"/>
      <c r="BB3513" s="340"/>
      <c r="BD3513" s="339"/>
    </row>
    <row r="3514" spans="7:56" s="338" customFormat="1">
      <c r="G3514" s="340"/>
      <c r="L3514" s="340"/>
      <c r="P3514" s="340"/>
      <c r="U3514" s="340"/>
      <c r="V3514" s="340"/>
      <c r="Z3514" s="340"/>
      <c r="AE3514" s="340"/>
      <c r="AI3514" s="340"/>
      <c r="AN3514" s="340"/>
      <c r="AO3514" s="340"/>
      <c r="AS3514" s="340"/>
      <c r="AX3514" s="340"/>
      <c r="BB3514" s="340"/>
      <c r="BD3514" s="339"/>
    </row>
    <row r="3515" spans="7:56" s="338" customFormat="1">
      <c r="G3515" s="340"/>
      <c r="L3515" s="340"/>
      <c r="P3515" s="340"/>
      <c r="U3515" s="340"/>
      <c r="V3515" s="340"/>
      <c r="Z3515" s="340"/>
      <c r="AE3515" s="340"/>
      <c r="AI3515" s="340"/>
      <c r="AN3515" s="340"/>
      <c r="AO3515" s="340"/>
      <c r="AS3515" s="340"/>
      <c r="AX3515" s="340"/>
      <c r="BB3515" s="340"/>
      <c r="BD3515" s="339"/>
    </row>
    <row r="3516" spans="7:56" s="338" customFormat="1">
      <c r="G3516" s="340"/>
      <c r="L3516" s="340"/>
      <c r="P3516" s="340"/>
      <c r="U3516" s="340"/>
      <c r="V3516" s="340"/>
      <c r="Z3516" s="340"/>
      <c r="AE3516" s="340"/>
      <c r="AI3516" s="340"/>
      <c r="AN3516" s="340"/>
      <c r="AO3516" s="340"/>
      <c r="AS3516" s="340"/>
      <c r="AX3516" s="340"/>
      <c r="BB3516" s="340"/>
      <c r="BD3516" s="339"/>
    </row>
    <row r="3517" spans="7:56" s="338" customFormat="1">
      <c r="G3517" s="340"/>
      <c r="L3517" s="340"/>
      <c r="P3517" s="340"/>
      <c r="U3517" s="340"/>
      <c r="V3517" s="340"/>
      <c r="Z3517" s="340"/>
      <c r="AE3517" s="340"/>
      <c r="AI3517" s="340"/>
      <c r="AN3517" s="340"/>
      <c r="AO3517" s="340"/>
      <c r="AS3517" s="340"/>
      <c r="AX3517" s="340"/>
      <c r="BB3517" s="340"/>
      <c r="BD3517" s="339"/>
    </row>
    <row r="3518" spans="7:56" s="338" customFormat="1">
      <c r="G3518" s="340"/>
      <c r="L3518" s="340"/>
      <c r="P3518" s="340"/>
      <c r="U3518" s="340"/>
      <c r="V3518" s="340"/>
      <c r="Z3518" s="340"/>
      <c r="AE3518" s="340"/>
      <c r="AI3518" s="340"/>
      <c r="AN3518" s="340"/>
      <c r="AO3518" s="340"/>
      <c r="AS3518" s="340"/>
      <c r="AX3518" s="340"/>
      <c r="BB3518" s="340"/>
      <c r="BD3518" s="339"/>
    </row>
    <row r="3519" spans="7:56" s="338" customFormat="1">
      <c r="G3519" s="340"/>
      <c r="L3519" s="340"/>
      <c r="P3519" s="340"/>
      <c r="U3519" s="340"/>
      <c r="V3519" s="340"/>
      <c r="Z3519" s="340"/>
      <c r="AE3519" s="340"/>
      <c r="AI3519" s="340"/>
      <c r="AN3519" s="340"/>
      <c r="AO3519" s="340"/>
      <c r="AS3519" s="340"/>
      <c r="AX3519" s="340"/>
      <c r="BB3519" s="340"/>
      <c r="BD3519" s="339"/>
    </row>
    <row r="3520" spans="7:56" s="338" customFormat="1">
      <c r="G3520" s="340"/>
      <c r="L3520" s="340"/>
      <c r="P3520" s="340"/>
      <c r="U3520" s="340"/>
      <c r="V3520" s="340"/>
      <c r="Z3520" s="340"/>
      <c r="AE3520" s="340"/>
      <c r="AI3520" s="340"/>
      <c r="AN3520" s="340"/>
      <c r="AO3520" s="340"/>
      <c r="AS3520" s="340"/>
      <c r="AX3520" s="340"/>
      <c r="BB3520" s="340"/>
      <c r="BD3520" s="339"/>
    </row>
    <row r="3521" spans="7:56" s="338" customFormat="1">
      <c r="G3521" s="340"/>
      <c r="L3521" s="340"/>
      <c r="P3521" s="340"/>
      <c r="U3521" s="340"/>
      <c r="V3521" s="340"/>
      <c r="Z3521" s="340"/>
      <c r="AE3521" s="340"/>
      <c r="AI3521" s="340"/>
      <c r="AN3521" s="340"/>
      <c r="AO3521" s="340"/>
      <c r="AS3521" s="340"/>
      <c r="AX3521" s="340"/>
      <c r="BB3521" s="340"/>
      <c r="BD3521" s="339"/>
    </row>
    <row r="3522" spans="7:56" s="338" customFormat="1">
      <c r="G3522" s="340"/>
      <c r="L3522" s="340"/>
      <c r="P3522" s="340"/>
      <c r="U3522" s="340"/>
      <c r="V3522" s="340"/>
      <c r="Z3522" s="340"/>
      <c r="AE3522" s="340"/>
      <c r="AI3522" s="340"/>
      <c r="AN3522" s="340"/>
      <c r="AO3522" s="340"/>
      <c r="AS3522" s="340"/>
      <c r="AX3522" s="340"/>
      <c r="BB3522" s="340"/>
      <c r="BD3522" s="339"/>
    </row>
    <row r="3523" spans="7:56" s="338" customFormat="1">
      <c r="G3523" s="340"/>
      <c r="L3523" s="340"/>
      <c r="P3523" s="340"/>
      <c r="U3523" s="340"/>
      <c r="V3523" s="340"/>
      <c r="Z3523" s="340"/>
      <c r="AE3523" s="340"/>
      <c r="AI3523" s="340"/>
      <c r="AN3523" s="340"/>
      <c r="AO3523" s="340"/>
      <c r="AS3523" s="340"/>
      <c r="AX3523" s="340"/>
      <c r="BB3523" s="340"/>
      <c r="BD3523" s="339"/>
    </row>
    <row r="3524" spans="7:56" s="338" customFormat="1">
      <c r="G3524" s="340"/>
      <c r="L3524" s="340"/>
      <c r="P3524" s="340"/>
      <c r="U3524" s="340"/>
      <c r="V3524" s="340"/>
      <c r="Z3524" s="340"/>
      <c r="AE3524" s="340"/>
      <c r="AI3524" s="340"/>
      <c r="AN3524" s="340"/>
      <c r="AO3524" s="340"/>
      <c r="AS3524" s="340"/>
      <c r="AX3524" s="340"/>
      <c r="BB3524" s="340"/>
      <c r="BD3524" s="339"/>
    </row>
    <row r="3525" spans="7:56" s="338" customFormat="1">
      <c r="G3525" s="340"/>
      <c r="L3525" s="340"/>
      <c r="P3525" s="340"/>
      <c r="U3525" s="340"/>
      <c r="V3525" s="340"/>
      <c r="Z3525" s="340"/>
      <c r="AE3525" s="340"/>
      <c r="AI3525" s="340"/>
      <c r="AN3525" s="340"/>
      <c r="AO3525" s="340"/>
      <c r="AS3525" s="340"/>
      <c r="AX3525" s="340"/>
      <c r="BB3525" s="340"/>
      <c r="BD3525" s="339"/>
    </row>
    <row r="3526" spans="7:56" s="338" customFormat="1">
      <c r="G3526" s="340"/>
      <c r="L3526" s="340"/>
      <c r="P3526" s="340"/>
      <c r="U3526" s="340"/>
      <c r="V3526" s="340"/>
      <c r="Z3526" s="340"/>
      <c r="AE3526" s="340"/>
      <c r="AI3526" s="340"/>
      <c r="AN3526" s="340"/>
      <c r="AO3526" s="340"/>
      <c r="AS3526" s="340"/>
      <c r="AX3526" s="340"/>
      <c r="BB3526" s="340"/>
      <c r="BD3526" s="339"/>
    </row>
    <row r="3527" spans="7:56" s="338" customFormat="1">
      <c r="G3527" s="340"/>
      <c r="L3527" s="340"/>
      <c r="P3527" s="340"/>
      <c r="U3527" s="340"/>
      <c r="V3527" s="340"/>
      <c r="Z3527" s="340"/>
      <c r="AE3527" s="340"/>
      <c r="AI3527" s="340"/>
      <c r="AN3527" s="340"/>
      <c r="AO3527" s="340"/>
      <c r="AS3527" s="340"/>
      <c r="AX3527" s="340"/>
      <c r="BB3527" s="340"/>
      <c r="BD3527" s="339"/>
    </row>
    <row r="3528" spans="7:56" s="338" customFormat="1">
      <c r="G3528" s="340"/>
      <c r="L3528" s="340"/>
      <c r="P3528" s="340"/>
      <c r="U3528" s="340"/>
      <c r="V3528" s="340"/>
      <c r="Z3528" s="340"/>
      <c r="AE3528" s="340"/>
      <c r="AI3528" s="340"/>
      <c r="AN3528" s="340"/>
      <c r="AO3528" s="340"/>
      <c r="AS3528" s="340"/>
      <c r="AX3528" s="340"/>
      <c r="BB3528" s="340"/>
      <c r="BD3528" s="339"/>
    </row>
    <row r="3529" spans="7:56" s="338" customFormat="1">
      <c r="G3529" s="340"/>
      <c r="L3529" s="340"/>
      <c r="P3529" s="340"/>
      <c r="U3529" s="340"/>
      <c r="V3529" s="340"/>
      <c r="Z3529" s="340"/>
      <c r="AE3529" s="340"/>
      <c r="AI3529" s="340"/>
      <c r="AN3529" s="340"/>
      <c r="AO3529" s="340"/>
      <c r="AS3529" s="340"/>
      <c r="AX3529" s="340"/>
      <c r="BB3529" s="340"/>
      <c r="BD3529" s="339"/>
    </row>
    <row r="3530" spans="7:56" s="338" customFormat="1">
      <c r="G3530" s="340"/>
      <c r="L3530" s="340"/>
      <c r="P3530" s="340"/>
      <c r="U3530" s="340"/>
      <c r="V3530" s="340"/>
      <c r="Z3530" s="340"/>
      <c r="AE3530" s="340"/>
      <c r="AI3530" s="340"/>
      <c r="AN3530" s="340"/>
      <c r="AO3530" s="340"/>
      <c r="AS3530" s="340"/>
      <c r="AX3530" s="340"/>
      <c r="BB3530" s="340"/>
      <c r="BD3530" s="339"/>
    </row>
    <row r="3531" spans="7:56" s="338" customFormat="1">
      <c r="G3531" s="340"/>
      <c r="L3531" s="340"/>
      <c r="P3531" s="340"/>
      <c r="U3531" s="340"/>
      <c r="V3531" s="340"/>
      <c r="Z3531" s="340"/>
      <c r="AE3531" s="340"/>
      <c r="AI3531" s="340"/>
      <c r="AN3531" s="340"/>
      <c r="AO3531" s="340"/>
      <c r="AS3531" s="340"/>
      <c r="AX3531" s="340"/>
      <c r="BB3531" s="340"/>
      <c r="BD3531" s="339"/>
    </row>
    <row r="3532" spans="7:56" s="338" customFormat="1">
      <c r="G3532" s="340"/>
      <c r="L3532" s="340"/>
      <c r="P3532" s="340"/>
      <c r="U3532" s="340"/>
      <c r="V3532" s="340"/>
      <c r="Z3532" s="340"/>
      <c r="AE3532" s="340"/>
      <c r="AI3532" s="340"/>
      <c r="AN3532" s="340"/>
      <c r="AO3532" s="340"/>
      <c r="AS3532" s="340"/>
      <c r="AX3532" s="340"/>
      <c r="BB3532" s="340"/>
      <c r="BD3532" s="339"/>
    </row>
    <row r="3533" spans="7:56" s="338" customFormat="1">
      <c r="G3533" s="340"/>
      <c r="L3533" s="340"/>
      <c r="P3533" s="340"/>
      <c r="U3533" s="340"/>
      <c r="V3533" s="340"/>
      <c r="Z3533" s="340"/>
      <c r="AE3533" s="340"/>
      <c r="AI3533" s="340"/>
      <c r="AN3533" s="340"/>
      <c r="AO3533" s="340"/>
      <c r="AS3533" s="340"/>
      <c r="AX3533" s="340"/>
      <c r="BB3533" s="340"/>
      <c r="BD3533" s="339"/>
    </row>
    <row r="3534" spans="7:56" s="338" customFormat="1">
      <c r="G3534" s="340"/>
      <c r="L3534" s="340"/>
      <c r="P3534" s="340"/>
      <c r="U3534" s="340"/>
      <c r="V3534" s="340"/>
      <c r="Z3534" s="340"/>
      <c r="AE3534" s="340"/>
      <c r="AI3534" s="340"/>
      <c r="AN3534" s="340"/>
      <c r="AO3534" s="340"/>
      <c r="AS3534" s="340"/>
      <c r="AX3534" s="340"/>
      <c r="BB3534" s="340"/>
      <c r="BD3534" s="339"/>
    </row>
    <row r="3535" spans="7:56" s="338" customFormat="1">
      <c r="G3535" s="340"/>
      <c r="L3535" s="340"/>
      <c r="P3535" s="340"/>
      <c r="U3535" s="340"/>
      <c r="V3535" s="340"/>
      <c r="Z3535" s="340"/>
      <c r="AE3535" s="340"/>
      <c r="AI3535" s="340"/>
      <c r="AN3535" s="340"/>
      <c r="AO3535" s="340"/>
      <c r="AS3535" s="340"/>
      <c r="AX3535" s="340"/>
      <c r="BB3535" s="340"/>
      <c r="BD3535" s="339"/>
    </row>
    <row r="3536" spans="7:56" s="338" customFormat="1">
      <c r="G3536" s="340"/>
      <c r="L3536" s="340"/>
      <c r="P3536" s="340"/>
      <c r="U3536" s="340"/>
      <c r="V3536" s="340"/>
      <c r="Z3536" s="340"/>
      <c r="AE3536" s="340"/>
      <c r="AI3536" s="340"/>
      <c r="AN3536" s="340"/>
      <c r="AO3536" s="340"/>
      <c r="AS3536" s="340"/>
      <c r="AX3536" s="340"/>
      <c r="BB3536" s="340"/>
      <c r="BD3536" s="339"/>
    </row>
    <row r="3537" spans="7:56" s="338" customFormat="1">
      <c r="G3537" s="340"/>
      <c r="L3537" s="340"/>
      <c r="P3537" s="340"/>
      <c r="U3537" s="340"/>
      <c r="V3537" s="340"/>
      <c r="Z3537" s="340"/>
      <c r="AE3537" s="340"/>
      <c r="AI3537" s="340"/>
      <c r="AN3537" s="340"/>
      <c r="AO3537" s="340"/>
      <c r="AS3537" s="340"/>
      <c r="AX3537" s="340"/>
      <c r="BB3537" s="340"/>
      <c r="BD3537" s="339"/>
    </row>
    <row r="3538" spans="7:56" s="338" customFormat="1">
      <c r="G3538" s="340"/>
      <c r="L3538" s="340"/>
      <c r="P3538" s="340"/>
      <c r="U3538" s="340"/>
      <c r="V3538" s="340"/>
      <c r="Z3538" s="340"/>
      <c r="AE3538" s="340"/>
      <c r="AI3538" s="340"/>
      <c r="AN3538" s="340"/>
      <c r="AO3538" s="340"/>
      <c r="AS3538" s="340"/>
      <c r="AX3538" s="340"/>
      <c r="BB3538" s="340"/>
      <c r="BD3538" s="339"/>
    </row>
    <row r="3539" spans="7:56" s="338" customFormat="1">
      <c r="G3539" s="340"/>
      <c r="L3539" s="340"/>
      <c r="P3539" s="340"/>
      <c r="U3539" s="340"/>
      <c r="V3539" s="340"/>
      <c r="Z3539" s="340"/>
      <c r="AE3539" s="340"/>
      <c r="AI3539" s="340"/>
      <c r="AN3539" s="340"/>
      <c r="AO3539" s="340"/>
      <c r="AS3539" s="340"/>
      <c r="AX3539" s="340"/>
      <c r="BB3539" s="340"/>
      <c r="BD3539" s="339"/>
    </row>
    <row r="3540" spans="7:56" s="338" customFormat="1">
      <c r="G3540" s="340"/>
      <c r="L3540" s="340"/>
      <c r="P3540" s="340"/>
      <c r="U3540" s="340"/>
      <c r="V3540" s="340"/>
      <c r="Z3540" s="340"/>
      <c r="AE3540" s="340"/>
      <c r="AI3540" s="340"/>
      <c r="AN3540" s="340"/>
      <c r="AO3540" s="340"/>
      <c r="AS3540" s="340"/>
      <c r="AX3540" s="340"/>
      <c r="BB3540" s="340"/>
      <c r="BD3540" s="339"/>
    </row>
    <row r="3541" spans="7:56" s="338" customFormat="1">
      <c r="G3541" s="340"/>
      <c r="L3541" s="340"/>
      <c r="P3541" s="340"/>
      <c r="U3541" s="340"/>
      <c r="V3541" s="340"/>
      <c r="Z3541" s="340"/>
      <c r="AE3541" s="340"/>
      <c r="AI3541" s="340"/>
      <c r="AN3541" s="340"/>
      <c r="AO3541" s="340"/>
      <c r="AS3541" s="340"/>
      <c r="AX3541" s="340"/>
      <c r="BB3541" s="340"/>
      <c r="BD3541" s="339"/>
    </row>
    <row r="3542" spans="7:56" s="338" customFormat="1">
      <c r="G3542" s="340"/>
      <c r="L3542" s="340"/>
      <c r="P3542" s="340"/>
      <c r="U3542" s="340"/>
      <c r="V3542" s="340"/>
      <c r="Z3542" s="340"/>
      <c r="AE3542" s="340"/>
      <c r="AI3542" s="340"/>
      <c r="AN3542" s="340"/>
      <c r="AO3542" s="340"/>
      <c r="AS3542" s="340"/>
      <c r="AX3542" s="340"/>
      <c r="BB3542" s="340"/>
      <c r="BD3542" s="339"/>
    </row>
    <row r="3543" spans="7:56" s="338" customFormat="1">
      <c r="G3543" s="340"/>
      <c r="L3543" s="340"/>
      <c r="P3543" s="340"/>
      <c r="U3543" s="340"/>
      <c r="V3543" s="340"/>
      <c r="Z3543" s="340"/>
      <c r="AE3543" s="340"/>
      <c r="AI3543" s="340"/>
      <c r="AN3543" s="340"/>
      <c r="AO3543" s="340"/>
      <c r="AS3543" s="340"/>
      <c r="AX3543" s="340"/>
      <c r="BB3543" s="340"/>
      <c r="BD3543" s="339"/>
    </row>
    <row r="3544" spans="7:56" s="338" customFormat="1">
      <c r="G3544" s="340"/>
      <c r="L3544" s="340"/>
      <c r="P3544" s="340"/>
      <c r="U3544" s="340"/>
      <c r="V3544" s="340"/>
      <c r="Z3544" s="340"/>
      <c r="AE3544" s="340"/>
      <c r="AI3544" s="340"/>
      <c r="AN3544" s="340"/>
      <c r="AO3544" s="340"/>
      <c r="AS3544" s="340"/>
      <c r="AX3544" s="340"/>
      <c r="BB3544" s="340"/>
      <c r="BD3544" s="339"/>
    </row>
    <row r="3545" spans="7:56" s="338" customFormat="1">
      <c r="G3545" s="340"/>
      <c r="L3545" s="340"/>
      <c r="P3545" s="340"/>
      <c r="U3545" s="340"/>
      <c r="V3545" s="340"/>
      <c r="Z3545" s="340"/>
      <c r="AE3545" s="340"/>
      <c r="AI3545" s="340"/>
      <c r="AN3545" s="340"/>
      <c r="AO3545" s="340"/>
      <c r="AS3545" s="340"/>
      <c r="AX3545" s="340"/>
      <c r="BB3545" s="340"/>
      <c r="BD3545" s="339"/>
    </row>
    <row r="3546" spans="7:56" s="338" customFormat="1">
      <c r="G3546" s="340"/>
      <c r="L3546" s="340"/>
      <c r="P3546" s="340"/>
      <c r="U3546" s="340"/>
      <c r="V3546" s="340"/>
      <c r="Z3546" s="340"/>
      <c r="AE3546" s="340"/>
      <c r="AI3546" s="340"/>
      <c r="AN3546" s="340"/>
      <c r="AO3546" s="340"/>
      <c r="AS3546" s="340"/>
      <c r="AX3546" s="340"/>
      <c r="BB3546" s="340"/>
      <c r="BD3546" s="339"/>
    </row>
    <row r="3547" spans="7:56" s="338" customFormat="1">
      <c r="G3547" s="340"/>
      <c r="L3547" s="340"/>
      <c r="P3547" s="340"/>
      <c r="U3547" s="340"/>
      <c r="V3547" s="340"/>
      <c r="Z3547" s="340"/>
      <c r="AE3547" s="340"/>
      <c r="AI3547" s="340"/>
      <c r="AN3547" s="340"/>
      <c r="AO3547" s="340"/>
      <c r="AS3547" s="340"/>
      <c r="AX3547" s="340"/>
      <c r="BB3547" s="340"/>
      <c r="BD3547" s="339"/>
    </row>
    <row r="3548" spans="7:56" s="338" customFormat="1">
      <c r="G3548" s="340"/>
      <c r="L3548" s="340"/>
      <c r="P3548" s="340"/>
      <c r="U3548" s="340"/>
      <c r="V3548" s="340"/>
      <c r="Z3548" s="340"/>
      <c r="AE3548" s="340"/>
      <c r="AI3548" s="340"/>
      <c r="AN3548" s="340"/>
      <c r="AO3548" s="340"/>
      <c r="AS3548" s="340"/>
      <c r="AX3548" s="340"/>
      <c r="BB3548" s="340"/>
      <c r="BD3548" s="339"/>
    </row>
    <row r="3549" spans="7:56" s="338" customFormat="1">
      <c r="G3549" s="340"/>
      <c r="L3549" s="340"/>
      <c r="P3549" s="340"/>
      <c r="U3549" s="340"/>
      <c r="V3549" s="340"/>
      <c r="Z3549" s="340"/>
      <c r="AE3549" s="340"/>
      <c r="AI3549" s="340"/>
      <c r="AN3549" s="340"/>
      <c r="AO3549" s="340"/>
      <c r="AS3549" s="340"/>
      <c r="AX3549" s="340"/>
      <c r="BB3549" s="340"/>
      <c r="BD3549" s="339"/>
    </row>
    <row r="3550" spans="7:56" s="338" customFormat="1">
      <c r="G3550" s="340"/>
      <c r="L3550" s="340"/>
      <c r="P3550" s="340"/>
      <c r="U3550" s="340"/>
      <c r="V3550" s="340"/>
      <c r="Z3550" s="340"/>
      <c r="AE3550" s="340"/>
      <c r="AI3550" s="340"/>
      <c r="AN3550" s="340"/>
      <c r="AO3550" s="340"/>
      <c r="AS3550" s="340"/>
      <c r="AX3550" s="340"/>
      <c r="BB3550" s="340"/>
      <c r="BD3550" s="339"/>
    </row>
    <row r="3551" spans="7:56" s="338" customFormat="1">
      <c r="G3551" s="340"/>
      <c r="L3551" s="340"/>
      <c r="P3551" s="340"/>
      <c r="U3551" s="340"/>
      <c r="V3551" s="340"/>
      <c r="Z3551" s="340"/>
      <c r="AE3551" s="340"/>
      <c r="AI3551" s="340"/>
      <c r="AN3551" s="340"/>
      <c r="AO3551" s="340"/>
      <c r="AS3551" s="340"/>
      <c r="AX3551" s="340"/>
      <c r="BB3551" s="340"/>
      <c r="BD3551" s="339"/>
    </row>
    <row r="3552" spans="7:56" s="338" customFormat="1">
      <c r="G3552" s="340"/>
      <c r="L3552" s="340"/>
      <c r="P3552" s="340"/>
      <c r="U3552" s="340"/>
      <c r="V3552" s="340"/>
      <c r="Z3552" s="340"/>
      <c r="AE3552" s="340"/>
      <c r="AI3552" s="340"/>
      <c r="AN3552" s="340"/>
      <c r="AO3552" s="340"/>
      <c r="AS3552" s="340"/>
      <c r="AX3552" s="340"/>
      <c r="BB3552" s="340"/>
      <c r="BD3552" s="339"/>
    </row>
    <row r="3553" spans="7:56" s="338" customFormat="1">
      <c r="G3553" s="340"/>
      <c r="L3553" s="340"/>
      <c r="P3553" s="340"/>
      <c r="U3553" s="340"/>
      <c r="V3553" s="340"/>
      <c r="Z3553" s="340"/>
      <c r="AE3553" s="340"/>
      <c r="AI3553" s="340"/>
      <c r="AN3553" s="340"/>
      <c r="AO3553" s="340"/>
      <c r="AS3553" s="340"/>
      <c r="AX3553" s="340"/>
      <c r="BB3553" s="340"/>
      <c r="BD3553" s="339"/>
    </row>
    <row r="3554" spans="7:56" s="338" customFormat="1">
      <c r="G3554" s="340"/>
      <c r="L3554" s="340"/>
      <c r="P3554" s="340"/>
      <c r="U3554" s="340"/>
      <c r="V3554" s="340"/>
      <c r="Z3554" s="340"/>
      <c r="AE3554" s="340"/>
      <c r="AI3554" s="340"/>
      <c r="AN3554" s="340"/>
      <c r="AO3554" s="340"/>
      <c r="AS3554" s="340"/>
      <c r="AX3554" s="340"/>
      <c r="BB3554" s="340"/>
      <c r="BD3554" s="339"/>
    </row>
    <row r="3555" spans="7:56" s="338" customFormat="1">
      <c r="G3555" s="340"/>
      <c r="L3555" s="340"/>
      <c r="P3555" s="340"/>
      <c r="U3555" s="340"/>
      <c r="V3555" s="340"/>
      <c r="Z3555" s="340"/>
      <c r="AE3555" s="340"/>
      <c r="AI3555" s="340"/>
      <c r="AN3555" s="340"/>
      <c r="AO3555" s="340"/>
      <c r="AS3555" s="340"/>
      <c r="AX3555" s="340"/>
      <c r="BB3555" s="340"/>
      <c r="BD3555" s="339"/>
    </row>
    <row r="3556" spans="7:56" s="338" customFormat="1">
      <c r="G3556" s="340"/>
      <c r="L3556" s="340"/>
      <c r="P3556" s="340"/>
      <c r="U3556" s="340"/>
      <c r="V3556" s="340"/>
      <c r="Z3556" s="340"/>
      <c r="AE3556" s="340"/>
      <c r="AI3556" s="340"/>
      <c r="AN3556" s="340"/>
      <c r="AO3556" s="340"/>
      <c r="AS3556" s="340"/>
      <c r="AX3556" s="340"/>
      <c r="BB3556" s="340"/>
      <c r="BD3556" s="339"/>
    </row>
    <row r="3557" spans="7:56" s="338" customFormat="1">
      <c r="G3557" s="340"/>
      <c r="L3557" s="340"/>
      <c r="P3557" s="340"/>
      <c r="U3557" s="340"/>
      <c r="V3557" s="340"/>
      <c r="Z3557" s="340"/>
      <c r="AE3557" s="340"/>
      <c r="AI3557" s="340"/>
      <c r="AN3557" s="340"/>
      <c r="AO3557" s="340"/>
      <c r="AS3557" s="340"/>
      <c r="AX3557" s="340"/>
      <c r="BB3557" s="340"/>
      <c r="BD3557" s="339"/>
    </row>
    <row r="3558" spans="7:56" s="338" customFormat="1">
      <c r="G3558" s="340"/>
      <c r="L3558" s="340"/>
      <c r="P3558" s="340"/>
      <c r="U3558" s="340"/>
      <c r="V3558" s="340"/>
      <c r="Z3558" s="340"/>
      <c r="AE3558" s="340"/>
      <c r="AI3558" s="340"/>
      <c r="AN3558" s="340"/>
      <c r="AO3558" s="340"/>
      <c r="AS3558" s="340"/>
      <c r="AX3558" s="340"/>
      <c r="BB3558" s="340"/>
      <c r="BD3558" s="339"/>
    </row>
    <row r="3559" spans="7:56" s="338" customFormat="1">
      <c r="G3559" s="340"/>
      <c r="L3559" s="340"/>
      <c r="P3559" s="340"/>
      <c r="U3559" s="340"/>
      <c r="V3559" s="340"/>
      <c r="Z3559" s="340"/>
      <c r="AE3559" s="340"/>
      <c r="AI3559" s="340"/>
      <c r="AN3559" s="340"/>
      <c r="AO3559" s="340"/>
      <c r="AS3559" s="340"/>
      <c r="AX3559" s="340"/>
      <c r="BB3559" s="340"/>
      <c r="BD3559" s="339"/>
    </row>
    <row r="3560" spans="7:56" s="338" customFormat="1">
      <c r="G3560" s="340"/>
      <c r="L3560" s="340"/>
      <c r="P3560" s="340"/>
      <c r="U3560" s="340"/>
      <c r="V3560" s="340"/>
      <c r="Z3560" s="340"/>
      <c r="AE3560" s="340"/>
      <c r="AI3560" s="340"/>
      <c r="AN3560" s="340"/>
      <c r="AO3560" s="340"/>
      <c r="AS3560" s="340"/>
      <c r="AX3560" s="340"/>
      <c r="BB3560" s="340"/>
      <c r="BD3560" s="339"/>
    </row>
    <row r="3561" spans="7:56" s="338" customFormat="1">
      <c r="G3561" s="340"/>
      <c r="L3561" s="340"/>
      <c r="P3561" s="340"/>
      <c r="U3561" s="340"/>
      <c r="V3561" s="340"/>
      <c r="Z3561" s="340"/>
      <c r="AE3561" s="340"/>
      <c r="AI3561" s="340"/>
      <c r="AN3561" s="340"/>
      <c r="AO3561" s="340"/>
      <c r="AS3561" s="340"/>
      <c r="AX3561" s="340"/>
      <c r="BB3561" s="340"/>
      <c r="BD3561" s="339"/>
    </row>
    <row r="3562" spans="7:56" s="338" customFormat="1">
      <c r="G3562" s="340"/>
      <c r="L3562" s="340"/>
      <c r="P3562" s="340"/>
      <c r="U3562" s="340"/>
      <c r="V3562" s="340"/>
      <c r="Z3562" s="340"/>
      <c r="AE3562" s="340"/>
      <c r="AI3562" s="340"/>
      <c r="AN3562" s="340"/>
      <c r="AO3562" s="340"/>
      <c r="AS3562" s="340"/>
      <c r="AX3562" s="340"/>
      <c r="BB3562" s="340"/>
      <c r="BD3562" s="339"/>
    </row>
    <row r="3563" spans="7:56" s="338" customFormat="1">
      <c r="G3563" s="340"/>
      <c r="L3563" s="340"/>
      <c r="P3563" s="340"/>
      <c r="U3563" s="340"/>
      <c r="V3563" s="340"/>
      <c r="Z3563" s="340"/>
      <c r="AE3563" s="340"/>
      <c r="AI3563" s="340"/>
      <c r="AN3563" s="340"/>
      <c r="AO3563" s="340"/>
      <c r="AS3563" s="340"/>
      <c r="AX3563" s="340"/>
      <c r="BB3563" s="340"/>
      <c r="BD3563" s="339"/>
    </row>
    <row r="3564" spans="7:56" s="338" customFormat="1">
      <c r="G3564" s="340"/>
      <c r="L3564" s="340"/>
      <c r="P3564" s="340"/>
      <c r="U3564" s="340"/>
      <c r="V3564" s="340"/>
      <c r="Z3564" s="340"/>
      <c r="AE3564" s="340"/>
      <c r="AI3564" s="340"/>
      <c r="AN3564" s="340"/>
      <c r="AO3564" s="340"/>
      <c r="AS3564" s="340"/>
      <c r="AX3564" s="340"/>
      <c r="BB3564" s="340"/>
      <c r="BD3564" s="339"/>
    </row>
    <row r="3565" spans="7:56" s="338" customFormat="1">
      <c r="G3565" s="340"/>
      <c r="L3565" s="340"/>
      <c r="P3565" s="340"/>
      <c r="U3565" s="340"/>
      <c r="V3565" s="340"/>
      <c r="Z3565" s="340"/>
      <c r="AE3565" s="340"/>
      <c r="AI3565" s="340"/>
      <c r="AN3565" s="340"/>
      <c r="AO3565" s="340"/>
      <c r="AS3565" s="340"/>
      <c r="AX3565" s="340"/>
      <c r="BB3565" s="340"/>
      <c r="BD3565" s="339"/>
    </row>
    <row r="3566" spans="7:56" s="338" customFormat="1">
      <c r="G3566" s="340"/>
      <c r="L3566" s="340"/>
      <c r="P3566" s="340"/>
      <c r="U3566" s="340"/>
      <c r="V3566" s="340"/>
      <c r="Z3566" s="340"/>
      <c r="AE3566" s="340"/>
      <c r="AI3566" s="340"/>
      <c r="AN3566" s="340"/>
      <c r="AO3566" s="340"/>
      <c r="AS3566" s="340"/>
      <c r="AX3566" s="340"/>
      <c r="BB3566" s="340"/>
      <c r="BD3566" s="339"/>
    </row>
    <row r="3567" spans="7:56" s="338" customFormat="1">
      <c r="G3567" s="340"/>
      <c r="L3567" s="340"/>
      <c r="P3567" s="340"/>
      <c r="U3567" s="340"/>
      <c r="V3567" s="340"/>
      <c r="Z3567" s="340"/>
      <c r="AE3567" s="340"/>
      <c r="AI3567" s="340"/>
      <c r="AN3567" s="340"/>
      <c r="AO3567" s="340"/>
      <c r="AS3567" s="340"/>
      <c r="AX3567" s="340"/>
      <c r="BB3567" s="340"/>
      <c r="BD3567" s="339"/>
    </row>
    <row r="3568" spans="7:56" s="338" customFormat="1">
      <c r="G3568" s="340"/>
      <c r="L3568" s="340"/>
      <c r="P3568" s="340"/>
      <c r="U3568" s="340"/>
      <c r="V3568" s="340"/>
      <c r="Z3568" s="340"/>
      <c r="AE3568" s="340"/>
      <c r="AI3568" s="340"/>
      <c r="AN3568" s="340"/>
      <c r="AO3568" s="340"/>
      <c r="AS3568" s="340"/>
      <c r="AX3568" s="340"/>
      <c r="BB3568" s="340"/>
      <c r="BD3568" s="339"/>
    </row>
    <row r="3569" spans="7:56" s="338" customFormat="1">
      <c r="G3569" s="340"/>
      <c r="L3569" s="340"/>
      <c r="P3569" s="340"/>
      <c r="U3569" s="340"/>
      <c r="V3569" s="340"/>
      <c r="Z3569" s="340"/>
      <c r="AE3569" s="340"/>
      <c r="AI3569" s="340"/>
      <c r="AN3569" s="340"/>
      <c r="AO3569" s="340"/>
      <c r="AS3569" s="340"/>
      <c r="AX3569" s="340"/>
      <c r="BB3569" s="340"/>
      <c r="BD3569" s="339"/>
    </row>
    <row r="3570" spans="7:56" s="338" customFormat="1">
      <c r="G3570" s="340"/>
      <c r="L3570" s="340"/>
      <c r="P3570" s="340"/>
      <c r="U3570" s="340"/>
      <c r="V3570" s="340"/>
      <c r="Z3570" s="340"/>
      <c r="AE3570" s="340"/>
      <c r="AI3570" s="340"/>
      <c r="AN3570" s="340"/>
      <c r="AO3570" s="340"/>
      <c r="AS3570" s="340"/>
      <c r="AX3570" s="340"/>
      <c r="BB3570" s="340"/>
      <c r="BD3570" s="339"/>
    </row>
    <row r="3571" spans="7:56" s="338" customFormat="1">
      <c r="G3571" s="340"/>
      <c r="L3571" s="340"/>
      <c r="P3571" s="340"/>
      <c r="U3571" s="340"/>
      <c r="V3571" s="340"/>
      <c r="Z3571" s="340"/>
      <c r="AE3571" s="340"/>
      <c r="AI3571" s="340"/>
      <c r="AN3571" s="340"/>
      <c r="AO3571" s="340"/>
      <c r="AS3571" s="340"/>
      <c r="AX3571" s="340"/>
      <c r="BB3571" s="340"/>
      <c r="BD3571" s="339"/>
    </row>
    <row r="3572" spans="7:56" s="338" customFormat="1">
      <c r="G3572" s="340"/>
      <c r="L3572" s="340"/>
      <c r="P3572" s="340"/>
      <c r="U3572" s="340"/>
      <c r="V3572" s="340"/>
      <c r="Z3572" s="340"/>
      <c r="AE3572" s="340"/>
      <c r="AI3572" s="340"/>
      <c r="AN3572" s="340"/>
      <c r="AO3572" s="340"/>
      <c r="AS3572" s="340"/>
      <c r="AX3572" s="340"/>
      <c r="BB3572" s="340"/>
      <c r="BD3572" s="339"/>
    </row>
    <row r="3573" spans="7:56" s="338" customFormat="1">
      <c r="G3573" s="340"/>
      <c r="L3573" s="340"/>
      <c r="P3573" s="340"/>
      <c r="U3573" s="340"/>
      <c r="V3573" s="340"/>
      <c r="Z3573" s="340"/>
      <c r="AE3573" s="340"/>
      <c r="AI3573" s="340"/>
      <c r="AN3573" s="340"/>
      <c r="AO3573" s="340"/>
      <c r="AS3573" s="340"/>
      <c r="AX3573" s="340"/>
      <c r="BB3573" s="340"/>
      <c r="BD3573" s="339"/>
    </row>
    <row r="3574" spans="7:56" s="338" customFormat="1">
      <c r="G3574" s="340"/>
      <c r="L3574" s="340"/>
      <c r="P3574" s="340"/>
      <c r="U3574" s="340"/>
      <c r="V3574" s="340"/>
      <c r="Z3574" s="340"/>
      <c r="AE3574" s="340"/>
      <c r="AI3574" s="340"/>
      <c r="AN3574" s="340"/>
      <c r="AO3574" s="340"/>
      <c r="AS3574" s="340"/>
      <c r="AX3574" s="340"/>
      <c r="BB3574" s="340"/>
      <c r="BD3574" s="339"/>
    </row>
    <row r="3575" spans="7:56" s="338" customFormat="1">
      <c r="G3575" s="340"/>
      <c r="L3575" s="340"/>
      <c r="P3575" s="340"/>
      <c r="U3575" s="340"/>
      <c r="V3575" s="340"/>
      <c r="Z3575" s="340"/>
      <c r="AE3575" s="340"/>
      <c r="AI3575" s="340"/>
      <c r="AN3575" s="340"/>
      <c r="AO3575" s="340"/>
      <c r="AS3575" s="340"/>
      <c r="AX3575" s="340"/>
      <c r="BB3575" s="340"/>
      <c r="BD3575" s="339"/>
    </row>
    <row r="3576" spans="7:56" s="338" customFormat="1">
      <c r="G3576" s="340"/>
      <c r="L3576" s="340"/>
      <c r="P3576" s="340"/>
      <c r="U3576" s="340"/>
      <c r="V3576" s="340"/>
      <c r="Z3576" s="340"/>
      <c r="AE3576" s="340"/>
      <c r="AI3576" s="340"/>
      <c r="AN3576" s="340"/>
      <c r="AO3576" s="340"/>
      <c r="AS3576" s="340"/>
      <c r="AX3576" s="340"/>
      <c r="BB3576" s="340"/>
      <c r="BD3576" s="339"/>
    </row>
    <row r="3577" spans="7:56" s="338" customFormat="1">
      <c r="G3577" s="340"/>
      <c r="L3577" s="340"/>
      <c r="P3577" s="340"/>
      <c r="U3577" s="340"/>
      <c r="V3577" s="340"/>
      <c r="Z3577" s="340"/>
      <c r="AE3577" s="340"/>
      <c r="AI3577" s="340"/>
      <c r="AN3577" s="340"/>
      <c r="AO3577" s="340"/>
      <c r="AS3577" s="340"/>
      <c r="AX3577" s="340"/>
      <c r="BB3577" s="340"/>
      <c r="BD3577" s="339"/>
    </row>
    <row r="3578" spans="7:56" s="338" customFormat="1">
      <c r="G3578" s="340"/>
      <c r="L3578" s="340"/>
      <c r="P3578" s="340"/>
      <c r="U3578" s="340"/>
      <c r="V3578" s="340"/>
      <c r="Z3578" s="340"/>
      <c r="AE3578" s="340"/>
      <c r="AI3578" s="340"/>
      <c r="AN3578" s="340"/>
      <c r="AO3578" s="340"/>
      <c r="AS3578" s="340"/>
      <c r="AX3578" s="340"/>
      <c r="BB3578" s="340"/>
      <c r="BD3578" s="339"/>
    </row>
    <row r="3579" spans="7:56" s="338" customFormat="1">
      <c r="G3579" s="340"/>
      <c r="L3579" s="340"/>
      <c r="P3579" s="340"/>
      <c r="U3579" s="340"/>
      <c r="V3579" s="340"/>
      <c r="Z3579" s="340"/>
      <c r="AE3579" s="340"/>
      <c r="AI3579" s="340"/>
      <c r="AN3579" s="340"/>
      <c r="AO3579" s="340"/>
      <c r="AS3579" s="340"/>
      <c r="AX3579" s="340"/>
      <c r="BB3579" s="340"/>
      <c r="BD3579" s="339"/>
    </row>
    <row r="3580" spans="7:56" s="338" customFormat="1">
      <c r="G3580" s="340"/>
      <c r="L3580" s="340"/>
      <c r="P3580" s="340"/>
      <c r="U3580" s="340"/>
      <c r="V3580" s="340"/>
      <c r="Z3580" s="340"/>
      <c r="AE3580" s="340"/>
      <c r="AI3580" s="340"/>
      <c r="AN3580" s="340"/>
      <c r="AO3580" s="340"/>
      <c r="AS3580" s="340"/>
      <c r="AX3580" s="340"/>
      <c r="BB3580" s="340"/>
      <c r="BD3580" s="339"/>
    </row>
    <row r="3581" spans="7:56" s="338" customFormat="1">
      <c r="G3581" s="340"/>
      <c r="L3581" s="340"/>
      <c r="P3581" s="340"/>
      <c r="U3581" s="340"/>
      <c r="V3581" s="340"/>
      <c r="Z3581" s="340"/>
      <c r="AE3581" s="340"/>
      <c r="AI3581" s="340"/>
      <c r="AN3581" s="340"/>
      <c r="AO3581" s="340"/>
      <c r="AS3581" s="340"/>
      <c r="AX3581" s="340"/>
      <c r="BB3581" s="340"/>
      <c r="BD3581" s="339"/>
    </row>
    <row r="3582" spans="7:56" s="338" customFormat="1">
      <c r="G3582" s="340"/>
      <c r="L3582" s="340"/>
      <c r="P3582" s="340"/>
      <c r="U3582" s="340"/>
      <c r="V3582" s="340"/>
      <c r="Z3582" s="340"/>
      <c r="AE3582" s="340"/>
      <c r="AI3582" s="340"/>
      <c r="AN3582" s="340"/>
      <c r="AO3582" s="340"/>
      <c r="AS3582" s="340"/>
      <c r="AX3582" s="340"/>
      <c r="BB3582" s="340"/>
      <c r="BD3582" s="339"/>
    </row>
    <row r="3583" spans="7:56" s="338" customFormat="1">
      <c r="G3583" s="340"/>
      <c r="L3583" s="340"/>
      <c r="P3583" s="340"/>
      <c r="U3583" s="340"/>
      <c r="V3583" s="340"/>
      <c r="Z3583" s="340"/>
      <c r="AE3583" s="340"/>
      <c r="AI3583" s="340"/>
      <c r="AN3583" s="340"/>
      <c r="AO3583" s="340"/>
      <c r="AS3583" s="340"/>
      <c r="AX3583" s="340"/>
      <c r="BB3583" s="340"/>
      <c r="BD3583" s="339"/>
    </row>
    <row r="3584" spans="7:56" s="338" customFormat="1">
      <c r="G3584" s="340"/>
      <c r="L3584" s="340"/>
      <c r="P3584" s="340"/>
      <c r="U3584" s="340"/>
      <c r="V3584" s="340"/>
      <c r="Z3584" s="340"/>
      <c r="AE3584" s="340"/>
      <c r="AI3584" s="340"/>
      <c r="AN3584" s="340"/>
      <c r="AO3584" s="340"/>
      <c r="AS3584" s="340"/>
      <c r="AX3584" s="340"/>
      <c r="BB3584" s="340"/>
      <c r="BD3584" s="339"/>
    </row>
    <row r="3585" spans="7:56" s="338" customFormat="1">
      <c r="G3585" s="340"/>
      <c r="L3585" s="340"/>
      <c r="P3585" s="340"/>
      <c r="U3585" s="340"/>
      <c r="V3585" s="340"/>
      <c r="Z3585" s="340"/>
      <c r="AE3585" s="340"/>
      <c r="AI3585" s="340"/>
      <c r="AN3585" s="340"/>
      <c r="AO3585" s="340"/>
      <c r="AS3585" s="340"/>
      <c r="AX3585" s="340"/>
      <c r="BB3585" s="340"/>
      <c r="BD3585" s="339"/>
    </row>
    <row r="3586" spans="7:56" s="338" customFormat="1">
      <c r="G3586" s="340"/>
      <c r="L3586" s="340"/>
      <c r="P3586" s="340"/>
      <c r="U3586" s="340"/>
      <c r="V3586" s="340"/>
      <c r="Z3586" s="340"/>
      <c r="AE3586" s="340"/>
      <c r="AI3586" s="340"/>
      <c r="AN3586" s="340"/>
      <c r="AO3586" s="340"/>
      <c r="AS3586" s="340"/>
      <c r="AX3586" s="340"/>
      <c r="BB3586" s="340"/>
      <c r="BD3586" s="339"/>
    </row>
    <row r="3587" spans="7:56" s="338" customFormat="1">
      <c r="G3587" s="340"/>
      <c r="L3587" s="340"/>
      <c r="P3587" s="340"/>
      <c r="U3587" s="340"/>
      <c r="V3587" s="340"/>
      <c r="Z3587" s="340"/>
      <c r="AE3587" s="340"/>
      <c r="AI3587" s="340"/>
      <c r="AN3587" s="340"/>
      <c r="AO3587" s="340"/>
      <c r="AS3587" s="340"/>
      <c r="AX3587" s="340"/>
      <c r="BB3587" s="340"/>
      <c r="BD3587" s="339"/>
    </row>
    <row r="3588" spans="7:56" s="338" customFormat="1">
      <c r="G3588" s="340"/>
      <c r="L3588" s="340"/>
      <c r="P3588" s="340"/>
      <c r="U3588" s="340"/>
      <c r="V3588" s="340"/>
      <c r="Z3588" s="340"/>
      <c r="AE3588" s="340"/>
      <c r="AI3588" s="340"/>
      <c r="AN3588" s="340"/>
      <c r="AO3588" s="340"/>
      <c r="AS3588" s="340"/>
      <c r="AX3588" s="340"/>
      <c r="BB3588" s="340"/>
      <c r="BD3588" s="339"/>
    </row>
    <row r="3589" spans="7:56" s="338" customFormat="1">
      <c r="G3589" s="340"/>
      <c r="L3589" s="340"/>
      <c r="P3589" s="340"/>
      <c r="U3589" s="340"/>
      <c r="V3589" s="340"/>
      <c r="Z3589" s="340"/>
      <c r="AE3589" s="340"/>
      <c r="AI3589" s="340"/>
      <c r="AN3589" s="340"/>
      <c r="AO3589" s="340"/>
      <c r="AS3589" s="340"/>
      <c r="AX3589" s="340"/>
      <c r="BB3589" s="340"/>
      <c r="BD3589" s="339"/>
    </row>
    <row r="3590" spans="7:56" s="338" customFormat="1">
      <c r="G3590" s="340"/>
      <c r="L3590" s="340"/>
      <c r="P3590" s="340"/>
      <c r="U3590" s="340"/>
      <c r="V3590" s="340"/>
      <c r="Z3590" s="340"/>
      <c r="AE3590" s="340"/>
      <c r="AI3590" s="340"/>
      <c r="AN3590" s="340"/>
      <c r="AO3590" s="340"/>
      <c r="AS3590" s="340"/>
      <c r="AX3590" s="340"/>
      <c r="BB3590" s="340"/>
      <c r="BD3590" s="339"/>
    </row>
    <row r="3591" spans="7:56" s="338" customFormat="1">
      <c r="G3591" s="340"/>
      <c r="L3591" s="340"/>
      <c r="P3591" s="340"/>
      <c r="U3591" s="340"/>
      <c r="V3591" s="340"/>
      <c r="Z3591" s="340"/>
      <c r="AE3591" s="340"/>
      <c r="AI3591" s="340"/>
      <c r="AN3591" s="340"/>
      <c r="AO3591" s="340"/>
      <c r="AS3591" s="340"/>
      <c r="AX3591" s="340"/>
      <c r="BB3591" s="340"/>
      <c r="BD3591" s="339"/>
    </row>
    <row r="3592" spans="7:56" s="338" customFormat="1">
      <c r="G3592" s="340"/>
      <c r="L3592" s="340"/>
      <c r="P3592" s="340"/>
      <c r="U3592" s="340"/>
      <c r="V3592" s="340"/>
      <c r="Z3592" s="340"/>
      <c r="AE3592" s="340"/>
      <c r="AI3592" s="340"/>
      <c r="AN3592" s="340"/>
      <c r="AO3592" s="340"/>
      <c r="AS3592" s="340"/>
      <c r="AX3592" s="340"/>
      <c r="BB3592" s="340"/>
      <c r="BD3592" s="339"/>
    </row>
    <row r="3593" spans="7:56" s="338" customFormat="1">
      <c r="G3593" s="340"/>
      <c r="L3593" s="340"/>
      <c r="P3593" s="340"/>
      <c r="U3593" s="340"/>
      <c r="V3593" s="340"/>
      <c r="Z3593" s="340"/>
      <c r="AE3593" s="340"/>
      <c r="AI3593" s="340"/>
      <c r="AN3593" s="340"/>
      <c r="AO3593" s="340"/>
      <c r="AS3593" s="340"/>
      <c r="AX3593" s="340"/>
      <c r="BB3593" s="340"/>
      <c r="BD3593" s="339"/>
    </row>
    <row r="3594" spans="7:56" s="338" customFormat="1">
      <c r="G3594" s="340"/>
      <c r="L3594" s="340"/>
      <c r="P3594" s="340"/>
      <c r="U3594" s="340"/>
      <c r="V3594" s="340"/>
      <c r="Z3594" s="340"/>
      <c r="AE3594" s="340"/>
      <c r="AI3594" s="340"/>
      <c r="AN3594" s="340"/>
      <c r="AO3594" s="340"/>
      <c r="AS3594" s="340"/>
      <c r="AX3594" s="340"/>
      <c r="BB3594" s="340"/>
      <c r="BD3594" s="339"/>
    </row>
    <row r="3595" spans="7:56" s="338" customFormat="1">
      <c r="G3595" s="340"/>
      <c r="L3595" s="340"/>
      <c r="P3595" s="340"/>
      <c r="U3595" s="340"/>
      <c r="V3595" s="340"/>
      <c r="Z3595" s="340"/>
      <c r="AE3595" s="340"/>
      <c r="AI3595" s="340"/>
      <c r="AN3595" s="340"/>
      <c r="AO3595" s="340"/>
      <c r="AS3595" s="340"/>
      <c r="AX3595" s="340"/>
      <c r="BB3595" s="340"/>
      <c r="BD3595" s="339"/>
    </row>
    <row r="3596" spans="7:56" s="338" customFormat="1">
      <c r="G3596" s="340"/>
      <c r="L3596" s="340"/>
      <c r="P3596" s="340"/>
      <c r="U3596" s="340"/>
      <c r="V3596" s="340"/>
      <c r="Z3596" s="340"/>
      <c r="AE3596" s="340"/>
      <c r="AI3596" s="340"/>
      <c r="AN3596" s="340"/>
      <c r="AO3596" s="340"/>
      <c r="AS3596" s="340"/>
      <c r="AX3596" s="340"/>
      <c r="BB3596" s="340"/>
      <c r="BD3596" s="339"/>
    </row>
    <row r="3597" spans="7:56" s="338" customFormat="1">
      <c r="G3597" s="340"/>
      <c r="L3597" s="340"/>
      <c r="P3597" s="340"/>
      <c r="U3597" s="340"/>
      <c r="V3597" s="340"/>
      <c r="Z3597" s="340"/>
      <c r="AE3597" s="340"/>
      <c r="AI3597" s="340"/>
      <c r="AN3597" s="340"/>
      <c r="AO3597" s="340"/>
      <c r="AS3597" s="340"/>
      <c r="AX3597" s="340"/>
      <c r="BB3597" s="340"/>
      <c r="BD3597" s="339"/>
    </row>
    <row r="3598" spans="7:56" s="338" customFormat="1">
      <c r="G3598" s="340"/>
      <c r="L3598" s="340"/>
      <c r="P3598" s="340"/>
      <c r="U3598" s="340"/>
      <c r="V3598" s="340"/>
      <c r="Z3598" s="340"/>
      <c r="AE3598" s="340"/>
      <c r="AI3598" s="340"/>
      <c r="AN3598" s="340"/>
      <c r="AO3598" s="340"/>
      <c r="AS3598" s="340"/>
      <c r="AX3598" s="340"/>
      <c r="BB3598" s="340"/>
      <c r="BD3598" s="339"/>
    </row>
    <row r="3599" spans="7:56" s="338" customFormat="1">
      <c r="G3599" s="340"/>
      <c r="L3599" s="340"/>
      <c r="P3599" s="340"/>
      <c r="U3599" s="340"/>
      <c r="V3599" s="340"/>
      <c r="Z3599" s="340"/>
      <c r="AE3599" s="340"/>
      <c r="AI3599" s="340"/>
      <c r="AN3599" s="340"/>
      <c r="AO3599" s="340"/>
      <c r="AS3599" s="340"/>
      <c r="AX3599" s="340"/>
      <c r="BB3599" s="340"/>
      <c r="BD3599" s="339"/>
    </row>
    <row r="3600" spans="7:56" s="338" customFormat="1">
      <c r="G3600" s="340"/>
      <c r="L3600" s="340"/>
      <c r="P3600" s="340"/>
      <c r="U3600" s="340"/>
      <c r="V3600" s="340"/>
      <c r="Z3600" s="340"/>
      <c r="AE3600" s="340"/>
      <c r="AI3600" s="340"/>
      <c r="AN3600" s="340"/>
      <c r="AO3600" s="340"/>
      <c r="AS3600" s="340"/>
      <c r="AX3600" s="340"/>
      <c r="BB3600" s="340"/>
      <c r="BD3600" s="339"/>
    </row>
    <row r="3601" spans="7:56" s="338" customFormat="1">
      <c r="G3601" s="340"/>
      <c r="L3601" s="340"/>
      <c r="P3601" s="340"/>
      <c r="U3601" s="340"/>
      <c r="V3601" s="340"/>
      <c r="Z3601" s="340"/>
      <c r="AE3601" s="340"/>
      <c r="AI3601" s="340"/>
      <c r="AN3601" s="340"/>
      <c r="AO3601" s="340"/>
      <c r="AS3601" s="340"/>
      <c r="AX3601" s="340"/>
      <c r="BB3601" s="340"/>
      <c r="BD3601" s="339"/>
    </row>
    <row r="3602" spans="7:56" s="338" customFormat="1">
      <c r="G3602" s="340"/>
      <c r="L3602" s="340"/>
      <c r="P3602" s="340"/>
      <c r="U3602" s="340"/>
      <c r="V3602" s="340"/>
      <c r="Z3602" s="340"/>
      <c r="AE3602" s="340"/>
      <c r="AI3602" s="340"/>
      <c r="AN3602" s="340"/>
      <c r="AO3602" s="340"/>
      <c r="AS3602" s="340"/>
      <c r="AX3602" s="340"/>
      <c r="BB3602" s="340"/>
      <c r="BD3602" s="339"/>
    </row>
    <row r="3603" spans="7:56" s="338" customFormat="1">
      <c r="G3603" s="340"/>
      <c r="L3603" s="340"/>
      <c r="P3603" s="340"/>
      <c r="U3603" s="340"/>
      <c r="V3603" s="340"/>
      <c r="Z3603" s="340"/>
      <c r="AE3603" s="340"/>
      <c r="AI3603" s="340"/>
      <c r="AN3603" s="340"/>
      <c r="AO3603" s="340"/>
      <c r="AS3603" s="340"/>
      <c r="AX3603" s="340"/>
      <c r="BB3603" s="340"/>
      <c r="BD3603" s="339"/>
    </row>
    <row r="3604" spans="7:56" s="338" customFormat="1">
      <c r="G3604" s="340"/>
      <c r="L3604" s="340"/>
      <c r="P3604" s="340"/>
      <c r="U3604" s="340"/>
      <c r="V3604" s="340"/>
      <c r="Z3604" s="340"/>
      <c r="AE3604" s="340"/>
      <c r="AI3604" s="340"/>
      <c r="AN3604" s="340"/>
      <c r="AO3604" s="340"/>
      <c r="AS3604" s="340"/>
      <c r="AX3604" s="340"/>
      <c r="BB3604" s="340"/>
      <c r="BD3604" s="339"/>
    </row>
    <row r="3605" spans="7:56" s="338" customFormat="1">
      <c r="G3605" s="340"/>
      <c r="L3605" s="340"/>
      <c r="P3605" s="340"/>
      <c r="U3605" s="340"/>
      <c r="V3605" s="340"/>
      <c r="Z3605" s="340"/>
      <c r="AE3605" s="340"/>
      <c r="AI3605" s="340"/>
      <c r="AN3605" s="340"/>
      <c r="AO3605" s="340"/>
      <c r="AS3605" s="340"/>
      <c r="AX3605" s="340"/>
      <c r="BB3605" s="340"/>
      <c r="BD3605" s="339"/>
    </row>
    <row r="3606" spans="7:56" s="338" customFormat="1">
      <c r="G3606" s="340"/>
      <c r="L3606" s="340"/>
      <c r="P3606" s="340"/>
      <c r="U3606" s="340"/>
      <c r="V3606" s="340"/>
      <c r="Z3606" s="340"/>
      <c r="AE3606" s="340"/>
      <c r="AI3606" s="340"/>
      <c r="AN3606" s="340"/>
      <c r="AO3606" s="340"/>
      <c r="AS3606" s="340"/>
      <c r="AX3606" s="340"/>
      <c r="BB3606" s="340"/>
      <c r="BD3606" s="339"/>
    </row>
    <row r="3607" spans="7:56" s="338" customFormat="1">
      <c r="G3607" s="340"/>
      <c r="L3607" s="340"/>
      <c r="P3607" s="340"/>
      <c r="U3607" s="340"/>
      <c r="V3607" s="340"/>
      <c r="Z3607" s="340"/>
      <c r="AE3607" s="340"/>
      <c r="AI3607" s="340"/>
      <c r="AN3607" s="340"/>
      <c r="AO3607" s="340"/>
      <c r="AS3607" s="340"/>
      <c r="AX3607" s="340"/>
      <c r="BB3607" s="340"/>
      <c r="BD3607" s="339"/>
    </row>
    <row r="3608" spans="7:56" s="338" customFormat="1">
      <c r="G3608" s="340"/>
      <c r="L3608" s="340"/>
      <c r="P3608" s="340"/>
      <c r="U3608" s="340"/>
      <c r="V3608" s="340"/>
      <c r="Z3608" s="340"/>
      <c r="AE3608" s="340"/>
      <c r="AI3608" s="340"/>
      <c r="AN3608" s="340"/>
      <c r="AO3608" s="340"/>
      <c r="AS3608" s="340"/>
      <c r="AX3608" s="340"/>
      <c r="BB3608" s="340"/>
      <c r="BD3608" s="339"/>
    </row>
    <row r="3609" spans="7:56" s="338" customFormat="1">
      <c r="G3609" s="340"/>
      <c r="L3609" s="340"/>
      <c r="P3609" s="340"/>
      <c r="U3609" s="340"/>
      <c r="V3609" s="340"/>
      <c r="Z3609" s="340"/>
      <c r="AE3609" s="340"/>
      <c r="AI3609" s="340"/>
      <c r="AN3609" s="340"/>
      <c r="AO3609" s="340"/>
      <c r="AS3609" s="340"/>
      <c r="AX3609" s="340"/>
      <c r="BB3609" s="340"/>
      <c r="BD3609" s="339"/>
    </row>
    <row r="3610" spans="7:56" s="338" customFormat="1">
      <c r="G3610" s="340"/>
      <c r="L3610" s="340"/>
      <c r="P3610" s="340"/>
      <c r="U3610" s="340"/>
      <c r="V3610" s="340"/>
      <c r="Z3610" s="340"/>
      <c r="AE3610" s="340"/>
      <c r="AI3610" s="340"/>
      <c r="AN3610" s="340"/>
      <c r="AO3610" s="340"/>
      <c r="AS3610" s="340"/>
      <c r="AX3610" s="340"/>
      <c r="BB3610" s="340"/>
      <c r="BD3610" s="339"/>
    </row>
    <row r="3611" spans="7:56" s="338" customFormat="1">
      <c r="G3611" s="340"/>
      <c r="L3611" s="340"/>
      <c r="P3611" s="340"/>
      <c r="U3611" s="340"/>
      <c r="V3611" s="340"/>
      <c r="Z3611" s="340"/>
      <c r="AE3611" s="340"/>
      <c r="AI3611" s="340"/>
      <c r="AN3611" s="340"/>
      <c r="AO3611" s="340"/>
      <c r="AS3611" s="340"/>
      <c r="AX3611" s="340"/>
      <c r="BB3611" s="340"/>
      <c r="BD3611" s="339"/>
    </row>
    <row r="3612" spans="7:56" s="338" customFormat="1">
      <c r="G3612" s="340"/>
      <c r="L3612" s="340"/>
      <c r="P3612" s="340"/>
      <c r="U3612" s="340"/>
      <c r="V3612" s="340"/>
      <c r="Z3612" s="340"/>
      <c r="AE3612" s="340"/>
      <c r="AI3612" s="340"/>
      <c r="AN3612" s="340"/>
      <c r="AO3612" s="340"/>
      <c r="AS3612" s="340"/>
      <c r="AX3612" s="340"/>
      <c r="BB3612" s="340"/>
      <c r="BD3612" s="339"/>
    </row>
    <row r="3613" spans="7:56" s="338" customFormat="1">
      <c r="G3613" s="340"/>
      <c r="L3613" s="340"/>
      <c r="P3613" s="340"/>
      <c r="U3613" s="340"/>
      <c r="V3613" s="340"/>
      <c r="Z3613" s="340"/>
      <c r="AE3613" s="340"/>
      <c r="AI3613" s="340"/>
      <c r="AN3613" s="340"/>
      <c r="AO3613" s="340"/>
      <c r="AS3613" s="340"/>
      <c r="AX3613" s="340"/>
      <c r="BB3613" s="340"/>
      <c r="BD3613" s="339"/>
    </row>
    <row r="3614" spans="7:56" s="338" customFormat="1">
      <c r="G3614" s="340"/>
      <c r="L3614" s="340"/>
      <c r="P3614" s="340"/>
      <c r="U3614" s="340"/>
      <c r="V3614" s="340"/>
      <c r="Z3614" s="340"/>
      <c r="AE3614" s="340"/>
      <c r="AI3614" s="340"/>
      <c r="AN3614" s="340"/>
      <c r="AO3614" s="340"/>
      <c r="AS3614" s="340"/>
      <c r="AX3614" s="340"/>
      <c r="BB3614" s="340"/>
      <c r="BD3614" s="339"/>
    </row>
    <row r="3615" spans="7:56" s="338" customFormat="1">
      <c r="G3615" s="340"/>
      <c r="L3615" s="340"/>
      <c r="P3615" s="340"/>
      <c r="U3615" s="340"/>
      <c r="V3615" s="340"/>
      <c r="Z3615" s="340"/>
      <c r="AE3615" s="340"/>
      <c r="AI3615" s="340"/>
      <c r="AN3615" s="340"/>
      <c r="AO3615" s="340"/>
      <c r="AS3615" s="340"/>
      <c r="AX3615" s="340"/>
      <c r="BB3615" s="340"/>
      <c r="BD3615" s="339"/>
    </row>
    <row r="3616" spans="7:56" s="338" customFormat="1">
      <c r="G3616" s="340"/>
      <c r="L3616" s="340"/>
      <c r="P3616" s="340"/>
      <c r="U3616" s="340"/>
      <c r="V3616" s="340"/>
      <c r="Z3616" s="340"/>
      <c r="AE3616" s="340"/>
      <c r="AI3616" s="340"/>
      <c r="AN3616" s="340"/>
      <c r="AO3616" s="340"/>
      <c r="AS3616" s="340"/>
      <c r="AX3616" s="340"/>
      <c r="BB3616" s="340"/>
      <c r="BD3616" s="339"/>
    </row>
    <row r="3617" spans="7:56" s="338" customFormat="1">
      <c r="G3617" s="340"/>
      <c r="L3617" s="340"/>
      <c r="P3617" s="340"/>
      <c r="U3617" s="340"/>
      <c r="V3617" s="340"/>
      <c r="Z3617" s="340"/>
      <c r="AE3617" s="340"/>
      <c r="AI3617" s="340"/>
      <c r="AN3617" s="340"/>
      <c r="AO3617" s="340"/>
      <c r="AS3617" s="340"/>
      <c r="AX3617" s="340"/>
      <c r="BB3617" s="340"/>
      <c r="BD3617" s="339"/>
    </row>
    <row r="3618" spans="7:56" s="338" customFormat="1">
      <c r="G3618" s="340"/>
      <c r="L3618" s="340"/>
      <c r="P3618" s="340"/>
      <c r="U3618" s="340"/>
      <c r="V3618" s="340"/>
      <c r="Z3618" s="340"/>
      <c r="AE3618" s="340"/>
      <c r="AI3618" s="340"/>
      <c r="AN3618" s="340"/>
      <c r="AO3618" s="340"/>
      <c r="AS3618" s="340"/>
      <c r="AX3618" s="340"/>
      <c r="BB3618" s="340"/>
      <c r="BD3618" s="339"/>
    </row>
    <row r="3619" spans="7:56" s="338" customFormat="1">
      <c r="G3619" s="340"/>
      <c r="L3619" s="340"/>
      <c r="P3619" s="340"/>
      <c r="U3619" s="340"/>
      <c r="V3619" s="340"/>
      <c r="Z3619" s="340"/>
      <c r="AE3619" s="340"/>
      <c r="AI3619" s="340"/>
      <c r="AN3619" s="340"/>
      <c r="AO3619" s="340"/>
      <c r="AS3619" s="340"/>
      <c r="AX3619" s="340"/>
      <c r="BB3619" s="340"/>
      <c r="BD3619" s="339"/>
    </row>
    <row r="3620" spans="7:56" s="338" customFormat="1">
      <c r="G3620" s="340"/>
      <c r="L3620" s="340"/>
      <c r="P3620" s="340"/>
      <c r="U3620" s="340"/>
      <c r="V3620" s="340"/>
      <c r="Z3620" s="340"/>
      <c r="AE3620" s="340"/>
      <c r="AI3620" s="340"/>
      <c r="AN3620" s="340"/>
      <c r="AO3620" s="340"/>
      <c r="AS3620" s="340"/>
      <c r="AX3620" s="340"/>
      <c r="BB3620" s="340"/>
      <c r="BD3620" s="339"/>
    </row>
    <row r="3621" spans="7:56" s="338" customFormat="1">
      <c r="G3621" s="340"/>
      <c r="L3621" s="340"/>
      <c r="P3621" s="340"/>
      <c r="U3621" s="340"/>
      <c r="V3621" s="340"/>
      <c r="Z3621" s="340"/>
      <c r="AE3621" s="340"/>
      <c r="AI3621" s="340"/>
      <c r="AN3621" s="340"/>
      <c r="AO3621" s="340"/>
      <c r="AS3621" s="340"/>
      <c r="AX3621" s="340"/>
      <c r="BB3621" s="340"/>
      <c r="BD3621" s="339"/>
    </row>
    <row r="3622" spans="7:56" s="338" customFormat="1">
      <c r="G3622" s="340"/>
      <c r="L3622" s="340"/>
      <c r="P3622" s="340"/>
      <c r="U3622" s="340"/>
      <c r="V3622" s="340"/>
      <c r="Z3622" s="340"/>
      <c r="AE3622" s="340"/>
      <c r="AI3622" s="340"/>
      <c r="AN3622" s="340"/>
      <c r="AO3622" s="340"/>
      <c r="AS3622" s="340"/>
      <c r="AX3622" s="340"/>
      <c r="BB3622" s="340"/>
      <c r="BD3622" s="339"/>
    </row>
    <row r="3623" spans="7:56" s="338" customFormat="1">
      <c r="G3623" s="340"/>
      <c r="L3623" s="340"/>
      <c r="P3623" s="340"/>
      <c r="U3623" s="340"/>
      <c r="V3623" s="340"/>
      <c r="Z3623" s="340"/>
      <c r="AE3623" s="340"/>
      <c r="AI3623" s="340"/>
      <c r="AN3623" s="340"/>
      <c r="AO3623" s="340"/>
      <c r="AS3623" s="340"/>
      <c r="AX3623" s="340"/>
      <c r="BB3623" s="340"/>
      <c r="BD3623" s="339"/>
    </row>
    <row r="3624" spans="7:56" s="338" customFormat="1">
      <c r="G3624" s="340"/>
      <c r="L3624" s="340"/>
      <c r="P3624" s="340"/>
      <c r="U3624" s="340"/>
      <c r="V3624" s="340"/>
      <c r="Z3624" s="340"/>
      <c r="AE3624" s="340"/>
      <c r="AI3624" s="340"/>
      <c r="AN3624" s="340"/>
      <c r="AO3624" s="340"/>
      <c r="AS3624" s="340"/>
      <c r="AX3624" s="340"/>
      <c r="BB3624" s="340"/>
      <c r="BD3624" s="339"/>
    </row>
    <row r="3625" spans="7:56" s="338" customFormat="1">
      <c r="G3625" s="340"/>
      <c r="L3625" s="340"/>
      <c r="P3625" s="340"/>
      <c r="U3625" s="340"/>
      <c r="V3625" s="340"/>
      <c r="Z3625" s="340"/>
      <c r="AE3625" s="340"/>
      <c r="AI3625" s="340"/>
      <c r="AN3625" s="340"/>
      <c r="AO3625" s="340"/>
      <c r="AS3625" s="340"/>
      <c r="AX3625" s="340"/>
      <c r="BB3625" s="340"/>
      <c r="BD3625" s="339"/>
    </row>
    <row r="3626" spans="7:56" s="338" customFormat="1">
      <c r="G3626" s="340"/>
      <c r="L3626" s="340"/>
      <c r="P3626" s="340"/>
      <c r="U3626" s="340"/>
      <c r="V3626" s="340"/>
      <c r="Z3626" s="340"/>
      <c r="AE3626" s="340"/>
      <c r="AI3626" s="340"/>
      <c r="AN3626" s="340"/>
      <c r="AO3626" s="340"/>
      <c r="AS3626" s="340"/>
      <c r="AX3626" s="340"/>
      <c r="BB3626" s="340"/>
      <c r="BD3626" s="339"/>
    </row>
    <row r="3627" spans="7:56" s="338" customFormat="1">
      <c r="G3627" s="340"/>
      <c r="L3627" s="340"/>
      <c r="P3627" s="340"/>
      <c r="U3627" s="340"/>
      <c r="V3627" s="340"/>
      <c r="Z3627" s="340"/>
      <c r="AE3627" s="340"/>
      <c r="AI3627" s="340"/>
      <c r="AN3627" s="340"/>
      <c r="AO3627" s="340"/>
      <c r="AS3627" s="340"/>
      <c r="AX3627" s="340"/>
      <c r="BB3627" s="340"/>
      <c r="BD3627" s="339"/>
    </row>
    <row r="3628" spans="7:56" s="338" customFormat="1">
      <c r="G3628" s="340"/>
      <c r="L3628" s="340"/>
      <c r="P3628" s="340"/>
      <c r="U3628" s="340"/>
      <c r="V3628" s="340"/>
      <c r="Z3628" s="340"/>
      <c r="AE3628" s="340"/>
      <c r="AI3628" s="340"/>
      <c r="AN3628" s="340"/>
      <c r="AO3628" s="340"/>
      <c r="AS3628" s="340"/>
      <c r="AX3628" s="340"/>
      <c r="BB3628" s="340"/>
      <c r="BD3628" s="339"/>
    </row>
    <row r="3629" spans="7:56" s="338" customFormat="1">
      <c r="G3629" s="340"/>
      <c r="L3629" s="340"/>
      <c r="P3629" s="340"/>
      <c r="U3629" s="340"/>
      <c r="V3629" s="340"/>
      <c r="Z3629" s="340"/>
      <c r="AE3629" s="340"/>
      <c r="AI3629" s="340"/>
      <c r="AN3629" s="340"/>
      <c r="AO3629" s="340"/>
      <c r="AS3629" s="340"/>
      <c r="AX3629" s="340"/>
      <c r="BB3629" s="340"/>
      <c r="BD3629" s="339"/>
    </row>
    <row r="3630" spans="7:56" s="338" customFormat="1">
      <c r="G3630" s="340"/>
      <c r="L3630" s="340"/>
      <c r="P3630" s="340"/>
      <c r="U3630" s="340"/>
      <c r="V3630" s="340"/>
      <c r="Z3630" s="340"/>
      <c r="AE3630" s="340"/>
      <c r="AI3630" s="340"/>
      <c r="AN3630" s="340"/>
      <c r="AO3630" s="340"/>
      <c r="AS3630" s="340"/>
      <c r="AX3630" s="340"/>
      <c r="BB3630" s="340"/>
      <c r="BD3630" s="339"/>
    </row>
    <row r="3631" spans="7:56" s="338" customFormat="1">
      <c r="G3631" s="340"/>
      <c r="L3631" s="340"/>
      <c r="P3631" s="340"/>
      <c r="U3631" s="340"/>
      <c r="V3631" s="340"/>
      <c r="Z3631" s="340"/>
      <c r="AE3631" s="340"/>
      <c r="AI3631" s="340"/>
      <c r="AN3631" s="340"/>
      <c r="AO3631" s="340"/>
      <c r="AS3631" s="340"/>
      <c r="AX3631" s="340"/>
      <c r="BB3631" s="340"/>
      <c r="BD3631" s="339"/>
    </row>
    <row r="3632" spans="7:56" s="338" customFormat="1">
      <c r="G3632" s="340"/>
      <c r="L3632" s="340"/>
      <c r="P3632" s="340"/>
      <c r="U3632" s="340"/>
      <c r="V3632" s="340"/>
      <c r="Z3632" s="340"/>
      <c r="AE3632" s="340"/>
      <c r="AI3632" s="340"/>
      <c r="AN3632" s="340"/>
      <c r="AO3632" s="340"/>
      <c r="AS3632" s="340"/>
      <c r="AX3632" s="340"/>
      <c r="BB3632" s="340"/>
      <c r="BD3632" s="339"/>
    </row>
    <row r="3633" spans="7:56" s="338" customFormat="1">
      <c r="G3633" s="340"/>
      <c r="L3633" s="340"/>
      <c r="P3633" s="340"/>
      <c r="U3633" s="340"/>
      <c r="V3633" s="340"/>
      <c r="Z3633" s="340"/>
      <c r="AE3633" s="340"/>
      <c r="AI3633" s="340"/>
      <c r="AN3633" s="340"/>
      <c r="AO3633" s="340"/>
      <c r="AS3633" s="340"/>
      <c r="AX3633" s="340"/>
      <c r="BB3633" s="340"/>
      <c r="BD3633" s="339"/>
    </row>
    <row r="3634" spans="7:56" s="338" customFormat="1">
      <c r="G3634" s="340"/>
      <c r="L3634" s="340"/>
      <c r="P3634" s="340"/>
      <c r="U3634" s="340"/>
      <c r="V3634" s="340"/>
      <c r="Z3634" s="340"/>
      <c r="AE3634" s="340"/>
      <c r="AI3634" s="340"/>
      <c r="AN3634" s="340"/>
      <c r="AO3634" s="340"/>
      <c r="AS3634" s="340"/>
      <c r="AX3634" s="340"/>
      <c r="BB3634" s="340"/>
      <c r="BD3634" s="339"/>
    </row>
    <row r="3635" spans="7:56" s="338" customFormat="1">
      <c r="G3635" s="340"/>
      <c r="L3635" s="340"/>
      <c r="P3635" s="340"/>
      <c r="U3635" s="340"/>
      <c r="V3635" s="340"/>
      <c r="Z3635" s="340"/>
      <c r="AE3635" s="340"/>
      <c r="AI3635" s="340"/>
      <c r="AN3635" s="340"/>
      <c r="AO3635" s="340"/>
      <c r="AS3635" s="340"/>
      <c r="AX3635" s="340"/>
      <c r="BB3635" s="340"/>
      <c r="BD3635" s="339"/>
    </row>
    <row r="3636" spans="7:56" s="338" customFormat="1">
      <c r="G3636" s="340"/>
      <c r="L3636" s="340"/>
      <c r="P3636" s="340"/>
      <c r="U3636" s="340"/>
      <c r="V3636" s="340"/>
      <c r="Z3636" s="340"/>
      <c r="AE3636" s="340"/>
      <c r="AI3636" s="340"/>
      <c r="AN3636" s="340"/>
      <c r="AO3636" s="340"/>
      <c r="AS3636" s="340"/>
      <c r="AX3636" s="340"/>
      <c r="BB3636" s="340"/>
      <c r="BD3636" s="339"/>
    </row>
    <row r="3637" spans="7:56" s="338" customFormat="1">
      <c r="G3637" s="340"/>
      <c r="L3637" s="340"/>
      <c r="P3637" s="340"/>
      <c r="U3637" s="340"/>
      <c r="V3637" s="340"/>
      <c r="Z3637" s="340"/>
      <c r="AE3637" s="340"/>
      <c r="AI3637" s="340"/>
      <c r="AN3637" s="340"/>
      <c r="AO3637" s="340"/>
      <c r="AS3637" s="340"/>
      <c r="AX3637" s="340"/>
      <c r="BB3637" s="340"/>
      <c r="BD3637" s="339"/>
    </row>
    <row r="3638" spans="7:56" s="338" customFormat="1">
      <c r="G3638" s="340"/>
      <c r="L3638" s="340"/>
      <c r="P3638" s="340"/>
      <c r="U3638" s="340"/>
      <c r="V3638" s="340"/>
      <c r="Z3638" s="340"/>
      <c r="AE3638" s="340"/>
      <c r="AI3638" s="340"/>
      <c r="AN3638" s="340"/>
      <c r="AO3638" s="340"/>
      <c r="AS3638" s="340"/>
      <c r="AX3638" s="340"/>
      <c r="BB3638" s="340"/>
      <c r="BD3638" s="339"/>
    </row>
    <row r="3639" spans="7:56" s="338" customFormat="1">
      <c r="G3639" s="340"/>
      <c r="L3639" s="340"/>
      <c r="P3639" s="340"/>
      <c r="U3639" s="340"/>
      <c r="V3639" s="340"/>
      <c r="Z3639" s="340"/>
      <c r="AE3639" s="340"/>
      <c r="AI3639" s="340"/>
      <c r="AN3639" s="340"/>
      <c r="AO3639" s="340"/>
      <c r="AS3639" s="340"/>
      <c r="AX3639" s="340"/>
      <c r="BB3639" s="340"/>
      <c r="BD3639" s="339"/>
    </row>
    <row r="3640" spans="7:56" s="338" customFormat="1">
      <c r="G3640" s="340"/>
      <c r="L3640" s="340"/>
      <c r="P3640" s="340"/>
      <c r="U3640" s="340"/>
      <c r="V3640" s="340"/>
      <c r="Z3640" s="340"/>
      <c r="AE3640" s="340"/>
      <c r="AI3640" s="340"/>
      <c r="AN3640" s="340"/>
      <c r="AO3640" s="340"/>
      <c r="AS3640" s="340"/>
      <c r="AX3640" s="340"/>
      <c r="BB3640" s="340"/>
      <c r="BD3640" s="339"/>
    </row>
    <row r="3641" spans="7:56" s="338" customFormat="1">
      <c r="G3641" s="340"/>
      <c r="L3641" s="340"/>
      <c r="P3641" s="340"/>
      <c r="U3641" s="340"/>
      <c r="V3641" s="340"/>
      <c r="Z3641" s="340"/>
      <c r="AE3641" s="340"/>
      <c r="AI3641" s="340"/>
      <c r="AN3641" s="340"/>
      <c r="AO3641" s="340"/>
      <c r="AS3641" s="340"/>
      <c r="AX3641" s="340"/>
      <c r="BB3641" s="340"/>
      <c r="BD3641" s="339"/>
    </row>
    <row r="3642" spans="7:56" s="338" customFormat="1">
      <c r="G3642" s="340"/>
      <c r="L3642" s="340"/>
      <c r="P3642" s="340"/>
      <c r="U3642" s="340"/>
      <c r="V3642" s="340"/>
      <c r="Z3642" s="340"/>
      <c r="AE3642" s="340"/>
      <c r="AI3642" s="340"/>
      <c r="AN3642" s="340"/>
      <c r="AO3642" s="340"/>
      <c r="AS3642" s="340"/>
      <c r="AX3642" s="340"/>
      <c r="BB3642" s="340"/>
      <c r="BD3642" s="339"/>
    </row>
    <row r="3643" spans="7:56" s="338" customFormat="1">
      <c r="G3643" s="340"/>
      <c r="L3643" s="340"/>
      <c r="P3643" s="340"/>
      <c r="U3643" s="340"/>
      <c r="V3643" s="340"/>
      <c r="Z3643" s="340"/>
      <c r="AE3643" s="340"/>
      <c r="AI3643" s="340"/>
      <c r="AN3643" s="340"/>
      <c r="AO3643" s="340"/>
      <c r="AS3643" s="340"/>
      <c r="AX3643" s="340"/>
      <c r="BB3643" s="340"/>
      <c r="BD3643" s="339"/>
    </row>
    <row r="3644" spans="7:56" s="338" customFormat="1">
      <c r="G3644" s="340"/>
      <c r="L3644" s="340"/>
      <c r="P3644" s="340"/>
      <c r="U3644" s="340"/>
      <c r="V3644" s="340"/>
      <c r="Z3644" s="340"/>
      <c r="AE3644" s="340"/>
      <c r="AI3644" s="340"/>
      <c r="AN3644" s="340"/>
      <c r="AO3644" s="340"/>
      <c r="AS3644" s="340"/>
      <c r="AX3644" s="340"/>
      <c r="BB3644" s="340"/>
      <c r="BD3644" s="339"/>
    </row>
    <row r="3645" spans="7:56" s="338" customFormat="1">
      <c r="G3645" s="340"/>
      <c r="L3645" s="340"/>
      <c r="P3645" s="340"/>
      <c r="U3645" s="340"/>
      <c r="V3645" s="340"/>
      <c r="Z3645" s="340"/>
      <c r="AE3645" s="340"/>
      <c r="AI3645" s="340"/>
      <c r="AN3645" s="340"/>
      <c r="AO3645" s="340"/>
      <c r="AS3645" s="340"/>
      <c r="AX3645" s="340"/>
      <c r="BB3645" s="340"/>
      <c r="BD3645" s="339"/>
    </row>
    <row r="3646" spans="7:56" s="338" customFormat="1">
      <c r="G3646" s="340"/>
      <c r="L3646" s="340"/>
      <c r="P3646" s="340"/>
      <c r="U3646" s="340"/>
      <c r="V3646" s="340"/>
      <c r="Z3646" s="340"/>
      <c r="AE3646" s="340"/>
      <c r="AI3646" s="340"/>
      <c r="AN3646" s="340"/>
      <c r="AO3646" s="340"/>
      <c r="AS3646" s="340"/>
      <c r="AX3646" s="340"/>
      <c r="BB3646" s="340"/>
      <c r="BD3646" s="339"/>
    </row>
    <row r="3647" spans="7:56" s="338" customFormat="1">
      <c r="G3647" s="340"/>
      <c r="L3647" s="340"/>
      <c r="P3647" s="340"/>
      <c r="U3647" s="340"/>
      <c r="V3647" s="340"/>
      <c r="Z3647" s="340"/>
      <c r="AE3647" s="340"/>
      <c r="AI3647" s="340"/>
      <c r="AN3647" s="340"/>
      <c r="AO3647" s="340"/>
      <c r="AS3647" s="340"/>
      <c r="AX3647" s="340"/>
      <c r="BB3647" s="340"/>
      <c r="BD3647" s="339"/>
    </row>
    <row r="3648" spans="7:56" s="338" customFormat="1">
      <c r="G3648" s="340"/>
      <c r="L3648" s="340"/>
      <c r="P3648" s="340"/>
      <c r="U3648" s="340"/>
      <c r="V3648" s="340"/>
      <c r="Z3648" s="340"/>
      <c r="AE3648" s="340"/>
      <c r="AI3648" s="340"/>
      <c r="AN3648" s="340"/>
      <c r="AO3648" s="340"/>
      <c r="AS3648" s="340"/>
      <c r="AX3648" s="340"/>
      <c r="BB3648" s="340"/>
      <c r="BD3648" s="339"/>
    </row>
    <row r="3649" spans="7:56" s="338" customFormat="1">
      <c r="G3649" s="340"/>
      <c r="L3649" s="340"/>
      <c r="P3649" s="340"/>
      <c r="U3649" s="340"/>
      <c r="V3649" s="340"/>
      <c r="Z3649" s="340"/>
      <c r="AE3649" s="340"/>
      <c r="AI3649" s="340"/>
      <c r="AN3649" s="340"/>
      <c r="AO3649" s="340"/>
      <c r="AS3649" s="340"/>
      <c r="AX3649" s="340"/>
      <c r="BB3649" s="340"/>
      <c r="BD3649" s="339"/>
    </row>
    <row r="3650" spans="7:56" s="338" customFormat="1">
      <c r="G3650" s="340"/>
      <c r="L3650" s="340"/>
      <c r="P3650" s="340"/>
      <c r="U3650" s="340"/>
      <c r="V3650" s="340"/>
      <c r="Z3650" s="340"/>
      <c r="AE3650" s="340"/>
      <c r="AI3650" s="340"/>
      <c r="AN3650" s="340"/>
      <c r="AO3650" s="340"/>
      <c r="AS3650" s="340"/>
      <c r="AX3650" s="340"/>
      <c r="BB3650" s="340"/>
      <c r="BD3650" s="339"/>
    </row>
    <row r="3651" spans="7:56" s="338" customFormat="1">
      <c r="G3651" s="340"/>
      <c r="L3651" s="340"/>
      <c r="P3651" s="340"/>
      <c r="U3651" s="340"/>
      <c r="V3651" s="340"/>
      <c r="Z3651" s="340"/>
      <c r="AE3651" s="340"/>
      <c r="AI3651" s="340"/>
      <c r="AN3651" s="340"/>
      <c r="AO3651" s="340"/>
      <c r="AS3651" s="340"/>
      <c r="AX3651" s="340"/>
      <c r="BB3651" s="340"/>
      <c r="BD3651" s="339"/>
    </row>
    <row r="3652" spans="7:56" s="338" customFormat="1">
      <c r="G3652" s="340"/>
      <c r="L3652" s="340"/>
      <c r="P3652" s="340"/>
      <c r="U3652" s="340"/>
      <c r="V3652" s="340"/>
      <c r="Z3652" s="340"/>
      <c r="AE3652" s="340"/>
      <c r="AI3652" s="340"/>
      <c r="AN3652" s="340"/>
      <c r="AO3652" s="340"/>
      <c r="AS3652" s="340"/>
      <c r="AX3652" s="340"/>
      <c r="BB3652" s="340"/>
      <c r="BD3652" s="339"/>
    </row>
    <row r="3653" spans="7:56" s="338" customFormat="1">
      <c r="G3653" s="340"/>
      <c r="L3653" s="340"/>
      <c r="P3653" s="340"/>
      <c r="U3653" s="340"/>
      <c r="V3653" s="340"/>
      <c r="Z3653" s="340"/>
      <c r="AE3653" s="340"/>
      <c r="AI3653" s="340"/>
      <c r="AN3653" s="340"/>
      <c r="AO3653" s="340"/>
      <c r="AS3653" s="340"/>
      <c r="AX3653" s="340"/>
      <c r="BB3653" s="340"/>
      <c r="BD3653" s="339"/>
    </row>
    <row r="3654" spans="7:56" s="338" customFormat="1">
      <c r="G3654" s="340"/>
      <c r="L3654" s="340"/>
      <c r="P3654" s="340"/>
      <c r="U3654" s="340"/>
      <c r="V3654" s="340"/>
      <c r="Z3654" s="340"/>
      <c r="AE3654" s="340"/>
      <c r="AI3654" s="340"/>
      <c r="AN3654" s="340"/>
      <c r="AO3654" s="340"/>
      <c r="AS3654" s="340"/>
      <c r="AX3654" s="340"/>
      <c r="BB3654" s="340"/>
      <c r="BD3654" s="339"/>
    </row>
    <row r="3655" spans="7:56" s="338" customFormat="1">
      <c r="G3655" s="340"/>
      <c r="L3655" s="340"/>
      <c r="P3655" s="340"/>
      <c r="U3655" s="340"/>
      <c r="V3655" s="340"/>
      <c r="Z3655" s="340"/>
      <c r="AE3655" s="340"/>
      <c r="AI3655" s="340"/>
      <c r="AN3655" s="340"/>
      <c r="AO3655" s="340"/>
      <c r="AS3655" s="340"/>
      <c r="AX3655" s="340"/>
      <c r="BB3655" s="340"/>
      <c r="BD3655" s="339"/>
    </row>
    <row r="3656" spans="7:56" s="338" customFormat="1">
      <c r="G3656" s="340"/>
      <c r="L3656" s="340"/>
      <c r="P3656" s="340"/>
      <c r="U3656" s="340"/>
      <c r="V3656" s="340"/>
      <c r="Z3656" s="340"/>
      <c r="AE3656" s="340"/>
      <c r="AI3656" s="340"/>
      <c r="AN3656" s="340"/>
      <c r="AO3656" s="340"/>
      <c r="AS3656" s="340"/>
      <c r="AX3656" s="340"/>
      <c r="BB3656" s="340"/>
      <c r="BD3656" s="339"/>
    </row>
    <row r="3657" spans="7:56" s="338" customFormat="1">
      <c r="G3657" s="340"/>
      <c r="L3657" s="340"/>
      <c r="P3657" s="340"/>
      <c r="U3657" s="340"/>
      <c r="V3657" s="340"/>
      <c r="Z3657" s="340"/>
      <c r="AE3657" s="340"/>
      <c r="AI3657" s="340"/>
      <c r="AN3657" s="340"/>
      <c r="AO3657" s="340"/>
      <c r="AS3657" s="340"/>
      <c r="AX3657" s="340"/>
      <c r="BB3657" s="340"/>
      <c r="BD3657" s="339"/>
    </row>
    <row r="3658" spans="7:56" s="338" customFormat="1">
      <c r="G3658" s="340"/>
      <c r="L3658" s="340"/>
      <c r="P3658" s="340"/>
      <c r="U3658" s="340"/>
      <c r="V3658" s="340"/>
      <c r="Z3658" s="340"/>
      <c r="AE3658" s="340"/>
      <c r="AI3658" s="340"/>
      <c r="AN3658" s="340"/>
      <c r="AO3658" s="340"/>
      <c r="AS3658" s="340"/>
      <c r="AX3658" s="340"/>
      <c r="BB3658" s="340"/>
      <c r="BD3658" s="339"/>
    </row>
    <row r="3659" spans="7:56" s="338" customFormat="1">
      <c r="G3659" s="340"/>
      <c r="L3659" s="340"/>
      <c r="P3659" s="340"/>
      <c r="U3659" s="340"/>
      <c r="V3659" s="340"/>
      <c r="Z3659" s="340"/>
      <c r="AE3659" s="340"/>
      <c r="AI3659" s="340"/>
      <c r="AN3659" s="340"/>
      <c r="AO3659" s="340"/>
      <c r="AS3659" s="340"/>
      <c r="AX3659" s="340"/>
      <c r="BB3659" s="340"/>
      <c r="BD3659" s="339"/>
    </row>
    <row r="3660" spans="7:56" s="338" customFormat="1">
      <c r="G3660" s="340"/>
      <c r="L3660" s="340"/>
      <c r="P3660" s="340"/>
      <c r="U3660" s="340"/>
      <c r="V3660" s="340"/>
      <c r="Z3660" s="340"/>
      <c r="AE3660" s="340"/>
      <c r="AI3660" s="340"/>
      <c r="AN3660" s="340"/>
      <c r="AO3660" s="340"/>
      <c r="AS3660" s="340"/>
      <c r="AX3660" s="340"/>
      <c r="BB3660" s="340"/>
      <c r="BD3660" s="339"/>
    </row>
    <row r="3661" spans="7:56" s="338" customFormat="1">
      <c r="G3661" s="340"/>
      <c r="L3661" s="340"/>
      <c r="P3661" s="340"/>
      <c r="U3661" s="340"/>
      <c r="V3661" s="340"/>
      <c r="Z3661" s="340"/>
      <c r="AE3661" s="340"/>
      <c r="AI3661" s="340"/>
      <c r="AN3661" s="340"/>
      <c r="AO3661" s="340"/>
      <c r="AS3661" s="340"/>
      <c r="AX3661" s="340"/>
      <c r="BB3661" s="340"/>
      <c r="BD3661" s="339"/>
    </row>
    <row r="3662" spans="7:56" s="338" customFormat="1">
      <c r="G3662" s="340"/>
      <c r="L3662" s="340"/>
      <c r="P3662" s="340"/>
      <c r="U3662" s="340"/>
      <c r="V3662" s="340"/>
      <c r="Z3662" s="340"/>
      <c r="AE3662" s="340"/>
      <c r="AI3662" s="340"/>
      <c r="AN3662" s="340"/>
      <c r="AO3662" s="340"/>
      <c r="AS3662" s="340"/>
      <c r="AX3662" s="340"/>
      <c r="BB3662" s="340"/>
      <c r="BD3662" s="339"/>
    </row>
    <row r="3663" spans="7:56" s="338" customFormat="1">
      <c r="G3663" s="340"/>
      <c r="L3663" s="340"/>
      <c r="P3663" s="340"/>
      <c r="U3663" s="340"/>
      <c r="V3663" s="340"/>
      <c r="Z3663" s="340"/>
      <c r="AE3663" s="340"/>
      <c r="AI3663" s="340"/>
      <c r="AN3663" s="340"/>
      <c r="AO3663" s="340"/>
      <c r="AS3663" s="340"/>
      <c r="AX3663" s="340"/>
      <c r="BB3663" s="340"/>
      <c r="BD3663" s="339"/>
    </row>
    <row r="3664" spans="7:56" s="338" customFormat="1">
      <c r="G3664" s="340"/>
      <c r="L3664" s="340"/>
      <c r="P3664" s="340"/>
      <c r="U3664" s="340"/>
      <c r="V3664" s="340"/>
      <c r="Z3664" s="340"/>
      <c r="AE3664" s="340"/>
      <c r="AI3664" s="340"/>
      <c r="AN3664" s="340"/>
      <c r="AO3664" s="340"/>
      <c r="AS3664" s="340"/>
      <c r="AX3664" s="340"/>
      <c r="BB3664" s="340"/>
      <c r="BD3664" s="339"/>
    </row>
    <row r="3665" spans="7:56" s="338" customFormat="1">
      <c r="G3665" s="340"/>
      <c r="L3665" s="340"/>
      <c r="P3665" s="340"/>
      <c r="U3665" s="340"/>
      <c r="V3665" s="340"/>
      <c r="Z3665" s="340"/>
      <c r="AE3665" s="340"/>
      <c r="AI3665" s="340"/>
      <c r="AN3665" s="340"/>
      <c r="AO3665" s="340"/>
      <c r="AS3665" s="340"/>
      <c r="AX3665" s="340"/>
      <c r="BB3665" s="340"/>
      <c r="BD3665" s="339"/>
    </row>
    <row r="3666" spans="7:56" s="338" customFormat="1">
      <c r="G3666" s="340"/>
      <c r="L3666" s="340"/>
      <c r="P3666" s="340"/>
      <c r="U3666" s="340"/>
      <c r="V3666" s="340"/>
      <c r="Z3666" s="340"/>
      <c r="AE3666" s="340"/>
      <c r="AI3666" s="340"/>
      <c r="AN3666" s="340"/>
      <c r="AO3666" s="340"/>
      <c r="AS3666" s="340"/>
      <c r="AX3666" s="340"/>
      <c r="BB3666" s="340"/>
      <c r="BD3666" s="339"/>
    </row>
    <row r="3667" spans="7:56" s="338" customFormat="1">
      <c r="G3667" s="340"/>
      <c r="L3667" s="340"/>
      <c r="P3667" s="340"/>
      <c r="U3667" s="340"/>
      <c r="V3667" s="340"/>
      <c r="Z3667" s="340"/>
      <c r="AE3667" s="340"/>
      <c r="AI3667" s="340"/>
      <c r="AN3667" s="340"/>
      <c r="AO3667" s="340"/>
      <c r="AS3667" s="340"/>
      <c r="AX3667" s="340"/>
      <c r="BB3667" s="340"/>
      <c r="BD3667" s="339"/>
    </row>
    <row r="3668" spans="7:56" s="338" customFormat="1">
      <c r="G3668" s="340"/>
      <c r="L3668" s="340"/>
      <c r="P3668" s="340"/>
      <c r="U3668" s="340"/>
      <c r="V3668" s="340"/>
      <c r="Z3668" s="340"/>
      <c r="AE3668" s="340"/>
      <c r="AI3668" s="340"/>
      <c r="AN3668" s="340"/>
      <c r="AO3668" s="340"/>
      <c r="AS3668" s="340"/>
      <c r="AX3668" s="340"/>
      <c r="BB3668" s="340"/>
      <c r="BD3668" s="339"/>
    </row>
    <row r="3669" spans="7:56" s="338" customFormat="1">
      <c r="G3669" s="340"/>
      <c r="L3669" s="340"/>
      <c r="P3669" s="340"/>
      <c r="U3669" s="340"/>
      <c r="V3669" s="340"/>
      <c r="Z3669" s="340"/>
      <c r="AE3669" s="340"/>
      <c r="AI3669" s="340"/>
      <c r="AN3669" s="340"/>
      <c r="AO3669" s="340"/>
      <c r="AS3669" s="340"/>
      <c r="AX3669" s="340"/>
      <c r="BB3669" s="340"/>
      <c r="BD3669" s="339"/>
    </row>
    <row r="3670" spans="7:56" s="338" customFormat="1">
      <c r="G3670" s="340"/>
      <c r="L3670" s="340"/>
      <c r="P3670" s="340"/>
      <c r="U3670" s="340"/>
      <c r="V3670" s="340"/>
      <c r="Z3670" s="340"/>
      <c r="AE3670" s="340"/>
      <c r="AI3670" s="340"/>
      <c r="AN3670" s="340"/>
      <c r="AO3670" s="340"/>
      <c r="AS3670" s="340"/>
      <c r="AX3670" s="340"/>
      <c r="BB3670" s="340"/>
      <c r="BD3670" s="339"/>
    </row>
    <row r="3671" spans="7:56" s="338" customFormat="1">
      <c r="G3671" s="340"/>
      <c r="L3671" s="340"/>
      <c r="P3671" s="340"/>
      <c r="U3671" s="340"/>
      <c r="V3671" s="340"/>
      <c r="Z3671" s="340"/>
      <c r="AE3671" s="340"/>
      <c r="AI3671" s="340"/>
      <c r="AN3671" s="340"/>
      <c r="AO3671" s="340"/>
      <c r="AS3671" s="340"/>
      <c r="AX3671" s="340"/>
      <c r="BB3671" s="340"/>
      <c r="BD3671" s="339"/>
    </row>
    <row r="3672" spans="7:56" s="338" customFormat="1">
      <c r="G3672" s="340"/>
      <c r="L3672" s="340"/>
      <c r="P3672" s="340"/>
      <c r="U3672" s="340"/>
      <c r="V3672" s="340"/>
      <c r="Z3672" s="340"/>
      <c r="AE3672" s="340"/>
      <c r="AI3672" s="340"/>
      <c r="AN3672" s="340"/>
      <c r="AO3672" s="340"/>
      <c r="AS3672" s="340"/>
      <c r="AX3672" s="340"/>
      <c r="BB3672" s="340"/>
      <c r="BD3672" s="339"/>
    </row>
    <row r="3673" spans="7:56" s="338" customFormat="1">
      <c r="G3673" s="340"/>
      <c r="L3673" s="340"/>
      <c r="P3673" s="340"/>
      <c r="U3673" s="340"/>
      <c r="V3673" s="340"/>
      <c r="Z3673" s="340"/>
      <c r="AE3673" s="340"/>
      <c r="AI3673" s="340"/>
      <c r="AN3673" s="340"/>
      <c r="AO3673" s="340"/>
      <c r="AS3673" s="340"/>
      <c r="AX3673" s="340"/>
      <c r="BB3673" s="340"/>
      <c r="BD3673" s="339"/>
    </row>
    <row r="3674" spans="7:56" s="338" customFormat="1">
      <c r="G3674" s="340"/>
      <c r="L3674" s="340"/>
      <c r="P3674" s="340"/>
      <c r="U3674" s="340"/>
      <c r="V3674" s="340"/>
      <c r="Z3674" s="340"/>
      <c r="AE3674" s="340"/>
      <c r="AI3674" s="340"/>
      <c r="AN3674" s="340"/>
      <c r="AO3674" s="340"/>
      <c r="AS3674" s="340"/>
      <c r="AX3674" s="340"/>
      <c r="BB3674" s="340"/>
      <c r="BD3674" s="339"/>
    </row>
    <row r="3675" spans="7:56" s="338" customFormat="1">
      <c r="G3675" s="340"/>
      <c r="L3675" s="340"/>
      <c r="P3675" s="340"/>
      <c r="U3675" s="340"/>
      <c r="V3675" s="340"/>
      <c r="Z3675" s="340"/>
      <c r="AE3675" s="340"/>
      <c r="AI3675" s="340"/>
      <c r="AN3675" s="340"/>
      <c r="AO3675" s="340"/>
      <c r="AS3675" s="340"/>
      <c r="AX3675" s="340"/>
      <c r="BB3675" s="340"/>
      <c r="BD3675" s="339"/>
    </row>
    <row r="3676" spans="7:56" s="338" customFormat="1">
      <c r="G3676" s="340"/>
      <c r="L3676" s="340"/>
      <c r="P3676" s="340"/>
      <c r="U3676" s="340"/>
      <c r="V3676" s="340"/>
      <c r="Z3676" s="340"/>
      <c r="AE3676" s="340"/>
      <c r="AI3676" s="340"/>
      <c r="AN3676" s="340"/>
      <c r="AO3676" s="340"/>
      <c r="AS3676" s="340"/>
      <c r="AX3676" s="340"/>
      <c r="BB3676" s="340"/>
      <c r="BD3676" s="339"/>
    </row>
    <row r="3677" spans="7:56" s="338" customFormat="1">
      <c r="G3677" s="340"/>
      <c r="L3677" s="340"/>
      <c r="P3677" s="340"/>
      <c r="U3677" s="340"/>
      <c r="V3677" s="340"/>
      <c r="Z3677" s="340"/>
      <c r="AE3677" s="340"/>
      <c r="AI3677" s="340"/>
      <c r="AN3677" s="340"/>
      <c r="AO3677" s="340"/>
      <c r="AS3677" s="340"/>
      <c r="AX3677" s="340"/>
      <c r="BB3677" s="340"/>
      <c r="BD3677" s="339"/>
    </row>
    <row r="3678" spans="7:56" s="338" customFormat="1">
      <c r="G3678" s="340"/>
      <c r="L3678" s="340"/>
      <c r="P3678" s="340"/>
      <c r="U3678" s="340"/>
      <c r="V3678" s="340"/>
      <c r="Z3678" s="340"/>
      <c r="AE3678" s="340"/>
      <c r="AI3678" s="340"/>
      <c r="AN3678" s="340"/>
      <c r="AO3678" s="340"/>
      <c r="AS3678" s="340"/>
      <c r="AX3678" s="340"/>
      <c r="BB3678" s="340"/>
      <c r="BD3678" s="339"/>
    </row>
    <row r="3679" spans="7:56" s="338" customFormat="1">
      <c r="G3679" s="340"/>
      <c r="L3679" s="340"/>
      <c r="P3679" s="340"/>
      <c r="U3679" s="340"/>
      <c r="V3679" s="340"/>
      <c r="Z3679" s="340"/>
      <c r="AE3679" s="340"/>
      <c r="AI3679" s="340"/>
      <c r="AN3679" s="340"/>
      <c r="AO3679" s="340"/>
      <c r="AS3679" s="340"/>
      <c r="AX3679" s="340"/>
      <c r="BB3679" s="340"/>
      <c r="BD3679" s="339"/>
    </row>
    <row r="3680" spans="7:56" s="338" customFormat="1">
      <c r="G3680" s="340"/>
      <c r="L3680" s="340"/>
      <c r="P3680" s="340"/>
      <c r="U3680" s="340"/>
      <c r="V3680" s="340"/>
      <c r="Z3680" s="340"/>
      <c r="AE3680" s="340"/>
      <c r="AI3680" s="340"/>
      <c r="AN3680" s="340"/>
      <c r="AO3680" s="340"/>
      <c r="AS3680" s="340"/>
      <c r="AX3680" s="340"/>
      <c r="BB3680" s="340"/>
      <c r="BD3680" s="339"/>
    </row>
    <row r="3681" spans="7:56" s="338" customFormat="1">
      <c r="G3681" s="340"/>
      <c r="L3681" s="340"/>
      <c r="P3681" s="340"/>
      <c r="U3681" s="340"/>
      <c r="V3681" s="340"/>
      <c r="Z3681" s="340"/>
      <c r="AE3681" s="340"/>
      <c r="AI3681" s="340"/>
      <c r="AN3681" s="340"/>
      <c r="AO3681" s="340"/>
      <c r="AS3681" s="340"/>
      <c r="AX3681" s="340"/>
      <c r="BB3681" s="340"/>
      <c r="BD3681" s="339"/>
    </row>
    <row r="3682" spans="7:56" s="338" customFormat="1">
      <c r="G3682" s="340"/>
      <c r="L3682" s="340"/>
      <c r="P3682" s="340"/>
      <c r="U3682" s="340"/>
      <c r="V3682" s="340"/>
      <c r="Z3682" s="340"/>
      <c r="AE3682" s="340"/>
      <c r="AI3682" s="340"/>
      <c r="AN3682" s="340"/>
      <c r="AO3682" s="340"/>
      <c r="AS3682" s="340"/>
      <c r="AX3682" s="340"/>
      <c r="BB3682" s="340"/>
      <c r="BD3682" s="339"/>
    </row>
    <row r="3683" spans="7:56" s="338" customFormat="1">
      <c r="G3683" s="340"/>
      <c r="L3683" s="340"/>
      <c r="P3683" s="340"/>
      <c r="U3683" s="340"/>
      <c r="V3683" s="340"/>
      <c r="Z3683" s="340"/>
      <c r="AE3683" s="340"/>
      <c r="AI3683" s="340"/>
      <c r="AN3683" s="340"/>
      <c r="AO3683" s="340"/>
      <c r="AS3683" s="340"/>
      <c r="AX3683" s="340"/>
      <c r="BB3683" s="340"/>
      <c r="BD3683" s="339"/>
    </row>
    <row r="3684" spans="7:56" s="338" customFormat="1">
      <c r="G3684" s="340"/>
      <c r="L3684" s="340"/>
      <c r="P3684" s="340"/>
      <c r="U3684" s="340"/>
      <c r="V3684" s="340"/>
      <c r="Z3684" s="340"/>
      <c r="AE3684" s="340"/>
      <c r="AI3684" s="340"/>
      <c r="AN3684" s="340"/>
      <c r="AO3684" s="340"/>
      <c r="AS3684" s="340"/>
      <c r="AX3684" s="340"/>
      <c r="BB3684" s="340"/>
      <c r="BD3684" s="339"/>
    </row>
    <row r="3685" spans="7:56" s="338" customFormat="1">
      <c r="G3685" s="340"/>
      <c r="L3685" s="340"/>
      <c r="P3685" s="340"/>
      <c r="U3685" s="340"/>
      <c r="V3685" s="340"/>
      <c r="Z3685" s="340"/>
      <c r="AE3685" s="340"/>
      <c r="AI3685" s="340"/>
      <c r="AN3685" s="340"/>
      <c r="AO3685" s="340"/>
      <c r="AS3685" s="340"/>
      <c r="AX3685" s="340"/>
      <c r="BB3685" s="340"/>
      <c r="BD3685" s="339"/>
    </row>
    <row r="3686" spans="7:56" s="338" customFormat="1">
      <c r="G3686" s="340"/>
      <c r="L3686" s="340"/>
      <c r="P3686" s="340"/>
      <c r="U3686" s="340"/>
      <c r="V3686" s="340"/>
      <c r="Z3686" s="340"/>
      <c r="AE3686" s="340"/>
      <c r="AI3686" s="340"/>
      <c r="AN3686" s="340"/>
      <c r="AO3686" s="340"/>
      <c r="AS3686" s="340"/>
      <c r="AX3686" s="340"/>
      <c r="BB3686" s="340"/>
      <c r="BD3686" s="339"/>
    </row>
    <row r="3687" spans="7:56" s="338" customFormat="1">
      <c r="G3687" s="340"/>
      <c r="L3687" s="340"/>
      <c r="P3687" s="340"/>
      <c r="U3687" s="340"/>
      <c r="V3687" s="340"/>
      <c r="Z3687" s="340"/>
      <c r="AE3687" s="340"/>
      <c r="AI3687" s="340"/>
      <c r="AN3687" s="340"/>
      <c r="AO3687" s="340"/>
      <c r="AS3687" s="340"/>
      <c r="AX3687" s="340"/>
      <c r="BB3687" s="340"/>
      <c r="BD3687" s="339"/>
    </row>
    <row r="3688" spans="7:56" s="338" customFormat="1">
      <c r="G3688" s="340"/>
      <c r="L3688" s="340"/>
      <c r="P3688" s="340"/>
      <c r="U3688" s="340"/>
      <c r="V3688" s="340"/>
      <c r="Z3688" s="340"/>
      <c r="AE3688" s="340"/>
      <c r="AI3688" s="340"/>
      <c r="AN3688" s="340"/>
      <c r="AO3688" s="340"/>
      <c r="AS3688" s="340"/>
      <c r="AX3688" s="340"/>
      <c r="BB3688" s="340"/>
      <c r="BD3688" s="339"/>
    </row>
    <row r="3689" spans="7:56" s="338" customFormat="1">
      <c r="G3689" s="340"/>
      <c r="L3689" s="340"/>
      <c r="P3689" s="340"/>
      <c r="U3689" s="340"/>
      <c r="V3689" s="340"/>
      <c r="Z3689" s="340"/>
      <c r="AE3689" s="340"/>
      <c r="AI3689" s="340"/>
      <c r="AN3689" s="340"/>
      <c r="AO3689" s="340"/>
      <c r="AS3689" s="340"/>
      <c r="AX3689" s="340"/>
      <c r="BB3689" s="340"/>
      <c r="BD3689" s="339"/>
    </row>
    <row r="3690" spans="7:56" s="338" customFormat="1">
      <c r="G3690" s="340"/>
      <c r="L3690" s="340"/>
      <c r="P3690" s="340"/>
      <c r="U3690" s="340"/>
      <c r="V3690" s="340"/>
      <c r="Z3690" s="340"/>
      <c r="AE3690" s="340"/>
      <c r="AI3690" s="340"/>
      <c r="AN3690" s="340"/>
      <c r="AO3690" s="340"/>
      <c r="AS3690" s="340"/>
      <c r="AX3690" s="340"/>
      <c r="BB3690" s="340"/>
      <c r="BD3690" s="339"/>
    </row>
    <row r="3691" spans="7:56" s="338" customFormat="1">
      <c r="G3691" s="340"/>
      <c r="L3691" s="340"/>
      <c r="P3691" s="340"/>
      <c r="U3691" s="340"/>
      <c r="V3691" s="340"/>
      <c r="Z3691" s="340"/>
      <c r="AE3691" s="340"/>
      <c r="AI3691" s="340"/>
      <c r="AN3691" s="340"/>
      <c r="AO3691" s="340"/>
      <c r="AS3691" s="340"/>
      <c r="AX3691" s="340"/>
      <c r="BB3691" s="340"/>
      <c r="BD3691" s="339"/>
    </row>
    <row r="3692" spans="7:56" s="338" customFormat="1">
      <c r="G3692" s="340"/>
      <c r="L3692" s="340"/>
      <c r="P3692" s="340"/>
      <c r="U3692" s="340"/>
      <c r="V3692" s="340"/>
      <c r="Z3692" s="340"/>
      <c r="AE3692" s="340"/>
      <c r="AI3692" s="340"/>
      <c r="AN3692" s="340"/>
      <c r="AO3692" s="340"/>
      <c r="AS3692" s="340"/>
      <c r="AX3692" s="340"/>
      <c r="BB3692" s="340"/>
      <c r="BD3692" s="339"/>
    </row>
    <row r="3693" spans="7:56" s="338" customFormat="1">
      <c r="G3693" s="340"/>
      <c r="L3693" s="340"/>
      <c r="P3693" s="340"/>
      <c r="U3693" s="340"/>
      <c r="V3693" s="340"/>
      <c r="Z3693" s="340"/>
      <c r="AE3693" s="340"/>
      <c r="AI3693" s="340"/>
      <c r="AN3693" s="340"/>
      <c r="AO3693" s="340"/>
      <c r="AS3693" s="340"/>
      <c r="AX3693" s="340"/>
      <c r="BB3693" s="340"/>
      <c r="BD3693" s="339"/>
    </row>
    <row r="3694" spans="7:56" s="338" customFormat="1">
      <c r="G3694" s="340"/>
      <c r="L3694" s="340"/>
      <c r="P3694" s="340"/>
      <c r="U3694" s="340"/>
      <c r="V3694" s="340"/>
      <c r="Z3694" s="340"/>
      <c r="AE3694" s="340"/>
      <c r="AI3694" s="340"/>
      <c r="AN3694" s="340"/>
      <c r="AO3694" s="340"/>
      <c r="AS3694" s="340"/>
      <c r="AX3694" s="340"/>
      <c r="BB3694" s="340"/>
      <c r="BD3694" s="339"/>
    </row>
    <row r="3695" spans="7:56" s="338" customFormat="1">
      <c r="G3695" s="340"/>
      <c r="L3695" s="340"/>
      <c r="P3695" s="340"/>
      <c r="U3695" s="340"/>
      <c r="V3695" s="340"/>
      <c r="Z3695" s="340"/>
      <c r="AE3695" s="340"/>
      <c r="AI3695" s="340"/>
      <c r="AN3695" s="340"/>
      <c r="AO3695" s="340"/>
      <c r="AS3695" s="340"/>
      <c r="AX3695" s="340"/>
      <c r="BB3695" s="340"/>
      <c r="BD3695" s="339"/>
    </row>
    <row r="3696" spans="7:56" s="338" customFormat="1">
      <c r="G3696" s="340"/>
      <c r="L3696" s="340"/>
      <c r="P3696" s="340"/>
      <c r="U3696" s="340"/>
      <c r="V3696" s="340"/>
      <c r="Z3696" s="340"/>
      <c r="AE3696" s="340"/>
      <c r="AI3696" s="340"/>
      <c r="AN3696" s="340"/>
      <c r="AO3696" s="340"/>
      <c r="AS3696" s="340"/>
      <c r="AX3696" s="340"/>
      <c r="BB3696" s="340"/>
      <c r="BD3696" s="339"/>
    </row>
    <row r="3697" spans="7:56" s="338" customFormat="1">
      <c r="G3697" s="340"/>
      <c r="L3697" s="340"/>
      <c r="P3697" s="340"/>
      <c r="U3697" s="340"/>
      <c r="V3697" s="340"/>
      <c r="Z3697" s="340"/>
      <c r="AE3697" s="340"/>
      <c r="AI3697" s="340"/>
      <c r="AN3697" s="340"/>
      <c r="AO3697" s="340"/>
      <c r="AS3697" s="340"/>
      <c r="AX3697" s="340"/>
      <c r="BB3697" s="340"/>
      <c r="BD3697" s="339"/>
    </row>
    <row r="3698" spans="7:56" s="338" customFormat="1">
      <c r="G3698" s="340"/>
      <c r="L3698" s="340"/>
      <c r="P3698" s="340"/>
      <c r="U3698" s="340"/>
      <c r="V3698" s="340"/>
      <c r="Z3698" s="340"/>
      <c r="AE3698" s="340"/>
      <c r="AI3698" s="340"/>
      <c r="AN3698" s="340"/>
      <c r="AO3698" s="340"/>
      <c r="AS3698" s="340"/>
      <c r="AX3698" s="340"/>
      <c r="BB3698" s="340"/>
      <c r="BD3698" s="339"/>
    </row>
    <row r="3699" spans="7:56" s="338" customFormat="1">
      <c r="G3699" s="340"/>
      <c r="L3699" s="340"/>
      <c r="P3699" s="340"/>
      <c r="U3699" s="340"/>
      <c r="V3699" s="340"/>
      <c r="Z3699" s="340"/>
      <c r="AE3699" s="340"/>
      <c r="AI3699" s="340"/>
      <c r="AN3699" s="340"/>
      <c r="AO3699" s="340"/>
      <c r="AS3699" s="340"/>
      <c r="AX3699" s="340"/>
      <c r="BB3699" s="340"/>
      <c r="BD3699" s="339"/>
    </row>
    <row r="3700" spans="7:56" s="338" customFormat="1">
      <c r="G3700" s="340"/>
      <c r="L3700" s="340"/>
      <c r="P3700" s="340"/>
      <c r="U3700" s="340"/>
      <c r="V3700" s="340"/>
      <c r="Z3700" s="340"/>
      <c r="AE3700" s="340"/>
      <c r="AI3700" s="340"/>
      <c r="AN3700" s="340"/>
      <c r="AO3700" s="340"/>
      <c r="AS3700" s="340"/>
      <c r="AX3700" s="340"/>
      <c r="BB3700" s="340"/>
      <c r="BD3700" s="339"/>
    </row>
    <row r="3701" spans="7:56" s="338" customFormat="1">
      <c r="G3701" s="340"/>
      <c r="L3701" s="340"/>
      <c r="P3701" s="340"/>
      <c r="U3701" s="340"/>
      <c r="V3701" s="340"/>
      <c r="Z3701" s="340"/>
      <c r="AE3701" s="340"/>
      <c r="AI3701" s="340"/>
      <c r="AN3701" s="340"/>
      <c r="AO3701" s="340"/>
      <c r="AS3701" s="340"/>
      <c r="AX3701" s="340"/>
      <c r="BB3701" s="340"/>
      <c r="BD3701" s="339"/>
    </row>
    <row r="3702" spans="7:56" s="338" customFormat="1">
      <c r="G3702" s="340"/>
      <c r="L3702" s="340"/>
      <c r="P3702" s="340"/>
      <c r="U3702" s="340"/>
      <c r="V3702" s="340"/>
      <c r="Z3702" s="340"/>
      <c r="AE3702" s="340"/>
      <c r="AI3702" s="340"/>
      <c r="AN3702" s="340"/>
      <c r="AO3702" s="340"/>
      <c r="AS3702" s="340"/>
      <c r="AX3702" s="340"/>
      <c r="BB3702" s="340"/>
      <c r="BD3702" s="339"/>
    </row>
    <row r="3703" spans="7:56" s="338" customFormat="1">
      <c r="G3703" s="340"/>
      <c r="L3703" s="340"/>
      <c r="P3703" s="340"/>
      <c r="U3703" s="340"/>
      <c r="V3703" s="340"/>
      <c r="Z3703" s="340"/>
      <c r="AE3703" s="340"/>
      <c r="AI3703" s="340"/>
      <c r="AN3703" s="340"/>
      <c r="AO3703" s="340"/>
      <c r="AS3703" s="340"/>
      <c r="AX3703" s="340"/>
      <c r="BB3703" s="340"/>
      <c r="BD3703" s="339"/>
    </row>
    <row r="3704" spans="7:56" s="338" customFormat="1">
      <c r="G3704" s="340"/>
      <c r="L3704" s="340"/>
      <c r="P3704" s="340"/>
      <c r="U3704" s="340"/>
      <c r="V3704" s="340"/>
      <c r="Z3704" s="340"/>
      <c r="AE3704" s="340"/>
      <c r="AI3704" s="340"/>
      <c r="AN3704" s="340"/>
      <c r="AO3704" s="340"/>
      <c r="AS3704" s="340"/>
      <c r="AX3704" s="340"/>
      <c r="BB3704" s="340"/>
      <c r="BD3704" s="339"/>
    </row>
    <row r="3705" spans="7:56" s="338" customFormat="1">
      <c r="G3705" s="340"/>
      <c r="L3705" s="340"/>
      <c r="P3705" s="340"/>
      <c r="U3705" s="340"/>
      <c r="V3705" s="340"/>
      <c r="Z3705" s="340"/>
      <c r="AE3705" s="340"/>
      <c r="AI3705" s="340"/>
      <c r="AN3705" s="340"/>
      <c r="AO3705" s="340"/>
      <c r="AS3705" s="340"/>
      <c r="AX3705" s="340"/>
      <c r="BB3705" s="340"/>
      <c r="BD3705" s="339"/>
    </row>
    <row r="3706" spans="7:56" s="338" customFormat="1">
      <c r="G3706" s="340"/>
      <c r="L3706" s="340"/>
      <c r="P3706" s="340"/>
      <c r="U3706" s="340"/>
      <c r="V3706" s="340"/>
      <c r="Z3706" s="340"/>
      <c r="AE3706" s="340"/>
      <c r="AI3706" s="340"/>
      <c r="AN3706" s="340"/>
      <c r="AO3706" s="340"/>
      <c r="AS3706" s="340"/>
      <c r="AX3706" s="340"/>
      <c r="BB3706" s="340"/>
      <c r="BD3706" s="339"/>
    </row>
    <row r="3707" spans="7:56" s="338" customFormat="1">
      <c r="G3707" s="340"/>
      <c r="L3707" s="340"/>
      <c r="P3707" s="340"/>
      <c r="U3707" s="340"/>
      <c r="V3707" s="340"/>
      <c r="Z3707" s="340"/>
      <c r="AE3707" s="340"/>
      <c r="AI3707" s="340"/>
      <c r="AN3707" s="340"/>
      <c r="AO3707" s="340"/>
      <c r="AS3707" s="340"/>
      <c r="AX3707" s="340"/>
      <c r="BB3707" s="340"/>
      <c r="BD3707" s="339"/>
    </row>
    <row r="3708" spans="7:56" s="338" customFormat="1">
      <c r="G3708" s="340"/>
      <c r="L3708" s="340"/>
      <c r="P3708" s="340"/>
      <c r="U3708" s="340"/>
      <c r="V3708" s="340"/>
      <c r="Z3708" s="340"/>
      <c r="AE3708" s="340"/>
      <c r="AI3708" s="340"/>
      <c r="AN3708" s="340"/>
      <c r="AO3708" s="340"/>
      <c r="AS3708" s="340"/>
      <c r="AX3708" s="340"/>
      <c r="BB3708" s="340"/>
      <c r="BD3708" s="339"/>
    </row>
    <row r="3709" spans="7:56" s="338" customFormat="1">
      <c r="G3709" s="340"/>
      <c r="L3709" s="340"/>
      <c r="P3709" s="340"/>
      <c r="U3709" s="340"/>
      <c r="V3709" s="340"/>
      <c r="Z3709" s="340"/>
      <c r="AE3709" s="340"/>
      <c r="AI3709" s="340"/>
      <c r="AN3709" s="340"/>
      <c r="AO3709" s="340"/>
      <c r="AS3709" s="340"/>
      <c r="AX3709" s="340"/>
      <c r="BB3709" s="340"/>
      <c r="BD3709" s="339"/>
    </row>
    <row r="3710" spans="7:56" s="338" customFormat="1">
      <c r="G3710" s="340"/>
      <c r="L3710" s="340"/>
      <c r="P3710" s="340"/>
      <c r="U3710" s="340"/>
      <c r="V3710" s="340"/>
      <c r="Z3710" s="340"/>
      <c r="AE3710" s="340"/>
      <c r="AI3710" s="340"/>
      <c r="AN3710" s="340"/>
      <c r="AO3710" s="340"/>
      <c r="AS3710" s="340"/>
      <c r="AX3710" s="340"/>
      <c r="BB3710" s="340"/>
      <c r="BD3710" s="339"/>
    </row>
    <row r="3711" spans="7:56" s="338" customFormat="1">
      <c r="G3711" s="340"/>
      <c r="L3711" s="340"/>
      <c r="P3711" s="340"/>
      <c r="U3711" s="340"/>
      <c r="V3711" s="340"/>
      <c r="Z3711" s="340"/>
      <c r="AE3711" s="340"/>
      <c r="AI3711" s="340"/>
      <c r="AN3711" s="340"/>
      <c r="AO3711" s="340"/>
      <c r="AS3711" s="340"/>
      <c r="AX3711" s="340"/>
      <c r="BB3711" s="340"/>
      <c r="BD3711" s="339"/>
    </row>
    <row r="3712" spans="7:56" s="338" customFormat="1">
      <c r="G3712" s="340"/>
      <c r="L3712" s="340"/>
      <c r="P3712" s="340"/>
      <c r="U3712" s="340"/>
      <c r="V3712" s="340"/>
      <c r="Z3712" s="340"/>
      <c r="AE3712" s="340"/>
      <c r="AI3712" s="340"/>
      <c r="AN3712" s="340"/>
      <c r="AO3712" s="340"/>
      <c r="AS3712" s="340"/>
      <c r="AX3712" s="340"/>
      <c r="BB3712" s="340"/>
      <c r="BD3712" s="339"/>
    </row>
    <row r="3713" spans="7:56" s="338" customFormat="1">
      <c r="G3713" s="340"/>
      <c r="L3713" s="340"/>
      <c r="P3713" s="340"/>
      <c r="U3713" s="340"/>
      <c r="V3713" s="340"/>
      <c r="Z3713" s="340"/>
      <c r="AE3713" s="340"/>
      <c r="AI3713" s="340"/>
      <c r="AN3713" s="340"/>
      <c r="AO3713" s="340"/>
      <c r="AS3713" s="340"/>
      <c r="AX3713" s="340"/>
      <c r="BB3713" s="340"/>
      <c r="BD3713" s="339"/>
    </row>
    <row r="3714" spans="7:56" s="338" customFormat="1">
      <c r="G3714" s="340"/>
      <c r="L3714" s="340"/>
      <c r="P3714" s="340"/>
      <c r="U3714" s="340"/>
      <c r="V3714" s="340"/>
      <c r="Z3714" s="340"/>
      <c r="AE3714" s="340"/>
      <c r="AI3714" s="340"/>
      <c r="AN3714" s="340"/>
      <c r="AO3714" s="340"/>
      <c r="AS3714" s="340"/>
      <c r="AX3714" s="340"/>
      <c r="BB3714" s="340"/>
      <c r="BD3714" s="339"/>
    </row>
    <row r="3715" spans="7:56" s="338" customFormat="1">
      <c r="G3715" s="340"/>
      <c r="L3715" s="340"/>
      <c r="P3715" s="340"/>
      <c r="U3715" s="340"/>
      <c r="V3715" s="340"/>
      <c r="Z3715" s="340"/>
      <c r="AE3715" s="340"/>
      <c r="AI3715" s="340"/>
      <c r="AN3715" s="340"/>
      <c r="AO3715" s="340"/>
      <c r="AS3715" s="340"/>
      <c r="AX3715" s="340"/>
      <c r="BB3715" s="340"/>
      <c r="BD3715" s="339"/>
    </row>
    <row r="3716" spans="7:56" s="338" customFormat="1">
      <c r="G3716" s="340"/>
      <c r="L3716" s="340"/>
      <c r="P3716" s="340"/>
      <c r="U3716" s="340"/>
      <c r="V3716" s="340"/>
      <c r="Z3716" s="340"/>
      <c r="AE3716" s="340"/>
      <c r="AI3716" s="340"/>
      <c r="AN3716" s="340"/>
      <c r="AO3716" s="340"/>
      <c r="AS3716" s="340"/>
      <c r="AX3716" s="340"/>
      <c r="BB3716" s="340"/>
      <c r="BD3716" s="339"/>
    </row>
    <row r="3717" spans="7:56" s="338" customFormat="1">
      <c r="G3717" s="340"/>
      <c r="L3717" s="340"/>
      <c r="P3717" s="340"/>
      <c r="U3717" s="340"/>
      <c r="V3717" s="340"/>
      <c r="Z3717" s="340"/>
      <c r="AE3717" s="340"/>
      <c r="AI3717" s="340"/>
      <c r="AN3717" s="340"/>
      <c r="AO3717" s="340"/>
      <c r="AS3717" s="340"/>
      <c r="AX3717" s="340"/>
      <c r="BB3717" s="340"/>
      <c r="BD3717" s="339"/>
    </row>
    <row r="3718" spans="7:56" s="338" customFormat="1">
      <c r="G3718" s="340"/>
      <c r="L3718" s="340"/>
      <c r="P3718" s="340"/>
      <c r="U3718" s="340"/>
      <c r="V3718" s="340"/>
      <c r="Z3718" s="340"/>
      <c r="AE3718" s="340"/>
      <c r="AI3718" s="340"/>
      <c r="AN3718" s="340"/>
      <c r="AO3718" s="340"/>
      <c r="AS3718" s="340"/>
      <c r="AX3718" s="340"/>
      <c r="BB3718" s="340"/>
      <c r="BD3718" s="339"/>
    </row>
    <row r="3719" spans="7:56" s="338" customFormat="1">
      <c r="G3719" s="340"/>
      <c r="L3719" s="340"/>
      <c r="P3719" s="340"/>
      <c r="U3719" s="340"/>
      <c r="V3719" s="340"/>
      <c r="Z3719" s="340"/>
      <c r="AE3719" s="340"/>
      <c r="AI3719" s="340"/>
      <c r="AN3719" s="340"/>
      <c r="AO3719" s="340"/>
      <c r="AS3719" s="340"/>
      <c r="AX3719" s="340"/>
      <c r="BB3719" s="340"/>
      <c r="BD3719" s="339"/>
    </row>
    <row r="3720" spans="7:56" s="338" customFormat="1">
      <c r="G3720" s="340"/>
      <c r="L3720" s="340"/>
      <c r="P3720" s="340"/>
      <c r="U3720" s="340"/>
      <c r="V3720" s="340"/>
      <c r="Z3720" s="340"/>
      <c r="AE3720" s="340"/>
      <c r="AI3720" s="340"/>
      <c r="AN3720" s="340"/>
      <c r="AO3720" s="340"/>
      <c r="AS3720" s="340"/>
      <c r="AX3720" s="340"/>
      <c r="BB3720" s="340"/>
      <c r="BD3720" s="339"/>
    </row>
    <row r="3721" spans="7:56" s="338" customFormat="1">
      <c r="G3721" s="340"/>
      <c r="L3721" s="340"/>
      <c r="P3721" s="340"/>
      <c r="U3721" s="340"/>
      <c r="V3721" s="340"/>
      <c r="Z3721" s="340"/>
      <c r="AE3721" s="340"/>
      <c r="AI3721" s="340"/>
      <c r="AN3721" s="340"/>
      <c r="AO3721" s="340"/>
      <c r="AS3721" s="340"/>
      <c r="AX3721" s="340"/>
      <c r="BB3721" s="340"/>
      <c r="BD3721" s="339"/>
    </row>
    <row r="3722" spans="7:56" s="338" customFormat="1">
      <c r="G3722" s="340"/>
      <c r="L3722" s="340"/>
      <c r="P3722" s="340"/>
      <c r="U3722" s="340"/>
      <c r="V3722" s="340"/>
      <c r="Z3722" s="340"/>
      <c r="AE3722" s="340"/>
      <c r="AI3722" s="340"/>
      <c r="AN3722" s="340"/>
      <c r="AO3722" s="340"/>
      <c r="AS3722" s="340"/>
      <c r="AX3722" s="340"/>
      <c r="BB3722" s="340"/>
      <c r="BD3722" s="339"/>
    </row>
    <row r="3723" spans="7:56" s="338" customFormat="1">
      <c r="G3723" s="340"/>
      <c r="L3723" s="340"/>
      <c r="P3723" s="340"/>
      <c r="U3723" s="340"/>
      <c r="V3723" s="340"/>
      <c r="Z3723" s="340"/>
      <c r="AE3723" s="340"/>
      <c r="AI3723" s="340"/>
      <c r="AN3723" s="340"/>
      <c r="AO3723" s="340"/>
      <c r="AS3723" s="340"/>
      <c r="AX3723" s="340"/>
      <c r="BB3723" s="340"/>
      <c r="BD3723" s="339"/>
    </row>
    <row r="3724" spans="7:56" s="338" customFormat="1">
      <c r="G3724" s="340"/>
      <c r="L3724" s="340"/>
      <c r="P3724" s="340"/>
      <c r="U3724" s="340"/>
      <c r="V3724" s="340"/>
      <c r="Z3724" s="340"/>
      <c r="AE3724" s="340"/>
      <c r="AI3724" s="340"/>
      <c r="AN3724" s="340"/>
      <c r="AO3724" s="340"/>
      <c r="AS3724" s="340"/>
      <c r="AX3724" s="340"/>
      <c r="BB3724" s="340"/>
      <c r="BD3724" s="339"/>
    </row>
    <row r="3725" spans="7:56" s="338" customFormat="1">
      <c r="G3725" s="340"/>
      <c r="L3725" s="340"/>
      <c r="P3725" s="340"/>
      <c r="U3725" s="340"/>
      <c r="V3725" s="340"/>
      <c r="Z3725" s="340"/>
      <c r="AE3725" s="340"/>
      <c r="AI3725" s="340"/>
      <c r="AN3725" s="340"/>
      <c r="AO3725" s="340"/>
      <c r="AS3725" s="340"/>
      <c r="AX3725" s="340"/>
      <c r="BB3725" s="340"/>
      <c r="BD3725" s="339"/>
    </row>
    <row r="3726" spans="7:56" s="338" customFormat="1">
      <c r="G3726" s="340"/>
      <c r="L3726" s="340"/>
      <c r="P3726" s="340"/>
      <c r="U3726" s="340"/>
      <c r="V3726" s="340"/>
      <c r="Z3726" s="340"/>
      <c r="AE3726" s="340"/>
      <c r="AI3726" s="340"/>
      <c r="AN3726" s="340"/>
      <c r="AO3726" s="340"/>
      <c r="AS3726" s="340"/>
      <c r="AX3726" s="340"/>
      <c r="BB3726" s="340"/>
      <c r="BD3726" s="339"/>
    </row>
    <row r="3727" spans="7:56" s="338" customFormat="1">
      <c r="G3727" s="340"/>
      <c r="L3727" s="340"/>
      <c r="P3727" s="340"/>
      <c r="U3727" s="340"/>
      <c r="V3727" s="340"/>
      <c r="Z3727" s="340"/>
      <c r="AE3727" s="340"/>
      <c r="AI3727" s="340"/>
      <c r="AN3727" s="340"/>
      <c r="AO3727" s="340"/>
      <c r="AS3727" s="340"/>
      <c r="AX3727" s="340"/>
      <c r="BB3727" s="340"/>
      <c r="BD3727" s="339"/>
    </row>
    <row r="3728" spans="7:56" s="338" customFormat="1">
      <c r="G3728" s="340"/>
      <c r="L3728" s="340"/>
      <c r="P3728" s="340"/>
      <c r="U3728" s="340"/>
      <c r="V3728" s="340"/>
      <c r="Z3728" s="340"/>
      <c r="AE3728" s="340"/>
      <c r="AI3728" s="340"/>
      <c r="AN3728" s="340"/>
      <c r="AO3728" s="340"/>
      <c r="AS3728" s="340"/>
      <c r="AX3728" s="340"/>
      <c r="BB3728" s="340"/>
      <c r="BD3728" s="339"/>
    </row>
    <row r="3729" spans="7:56" s="338" customFormat="1">
      <c r="G3729" s="340"/>
      <c r="L3729" s="340"/>
      <c r="P3729" s="340"/>
      <c r="U3729" s="340"/>
      <c r="V3729" s="340"/>
      <c r="Z3729" s="340"/>
      <c r="AE3729" s="340"/>
      <c r="AI3729" s="340"/>
      <c r="AN3729" s="340"/>
      <c r="AO3729" s="340"/>
      <c r="AS3729" s="340"/>
      <c r="AX3729" s="340"/>
      <c r="BB3729" s="340"/>
      <c r="BD3729" s="339"/>
    </row>
    <row r="3730" spans="7:56" s="338" customFormat="1">
      <c r="G3730" s="340"/>
      <c r="L3730" s="340"/>
      <c r="P3730" s="340"/>
      <c r="U3730" s="340"/>
      <c r="V3730" s="340"/>
      <c r="Z3730" s="340"/>
      <c r="AE3730" s="340"/>
      <c r="AI3730" s="340"/>
      <c r="AN3730" s="340"/>
      <c r="AO3730" s="340"/>
      <c r="AS3730" s="340"/>
      <c r="AX3730" s="340"/>
      <c r="BB3730" s="340"/>
      <c r="BD3730" s="339"/>
    </row>
    <row r="3731" spans="7:56" s="338" customFormat="1">
      <c r="G3731" s="340"/>
      <c r="L3731" s="340"/>
      <c r="P3731" s="340"/>
      <c r="U3731" s="340"/>
      <c r="V3731" s="340"/>
      <c r="Z3731" s="340"/>
      <c r="AE3731" s="340"/>
      <c r="AI3731" s="340"/>
      <c r="AN3731" s="340"/>
      <c r="AO3731" s="340"/>
      <c r="AS3731" s="340"/>
      <c r="AX3731" s="340"/>
      <c r="BB3731" s="340"/>
      <c r="BD3731" s="339"/>
    </row>
    <row r="3732" spans="7:56" s="338" customFormat="1">
      <c r="G3732" s="340"/>
      <c r="L3732" s="340"/>
      <c r="P3732" s="340"/>
      <c r="U3732" s="340"/>
      <c r="V3732" s="340"/>
      <c r="Z3732" s="340"/>
      <c r="AE3732" s="340"/>
      <c r="AI3732" s="340"/>
      <c r="AN3732" s="340"/>
      <c r="AO3732" s="340"/>
      <c r="AS3732" s="340"/>
      <c r="AX3732" s="340"/>
      <c r="BB3732" s="340"/>
      <c r="BD3732" s="339"/>
    </row>
    <row r="3733" spans="7:56" s="338" customFormat="1">
      <c r="G3733" s="340"/>
      <c r="L3733" s="340"/>
      <c r="P3733" s="340"/>
      <c r="U3733" s="340"/>
      <c r="V3733" s="340"/>
      <c r="Z3733" s="340"/>
      <c r="AE3733" s="340"/>
      <c r="AI3733" s="340"/>
      <c r="AN3733" s="340"/>
      <c r="AO3733" s="340"/>
      <c r="AS3733" s="340"/>
      <c r="AX3733" s="340"/>
      <c r="BB3733" s="340"/>
      <c r="BD3733" s="339"/>
    </row>
    <row r="3734" spans="7:56" s="338" customFormat="1">
      <c r="G3734" s="340"/>
      <c r="L3734" s="340"/>
      <c r="P3734" s="340"/>
      <c r="U3734" s="340"/>
      <c r="V3734" s="340"/>
      <c r="Z3734" s="340"/>
      <c r="AE3734" s="340"/>
      <c r="AI3734" s="340"/>
      <c r="AN3734" s="340"/>
      <c r="AO3734" s="340"/>
      <c r="AS3734" s="340"/>
      <c r="AX3734" s="340"/>
      <c r="BB3734" s="340"/>
      <c r="BD3734" s="339"/>
    </row>
    <row r="3735" spans="7:56" s="338" customFormat="1">
      <c r="G3735" s="340"/>
      <c r="L3735" s="340"/>
      <c r="P3735" s="340"/>
      <c r="U3735" s="340"/>
      <c r="V3735" s="340"/>
      <c r="Z3735" s="340"/>
      <c r="AE3735" s="340"/>
      <c r="AI3735" s="340"/>
      <c r="AN3735" s="340"/>
      <c r="AO3735" s="340"/>
      <c r="AS3735" s="340"/>
      <c r="AX3735" s="340"/>
      <c r="BB3735" s="340"/>
      <c r="BD3735" s="339"/>
    </row>
    <row r="3736" spans="7:56" s="338" customFormat="1">
      <c r="G3736" s="340"/>
      <c r="L3736" s="340"/>
      <c r="P3736" s="340"/>
      <c r="U3736" s="340"/>
      <c r="V3736" s="340"/>
      <c r="Z3736" s="340"/>
      <c r="AE3736" s="340"/>
      <c r="AI3736" s="340"/>
      <c r="AN3736" s="340"/>
      <c r="AO3736" s="340"/>
      <c r="AS3736" s="340"/>
      <c r="AX3736" s="340"/>
      <c r="BB3736" s="340"/>
      <c r="BD3736" s="339"/>
    </row>
    <row r="3737" spans="7:56" s="338" customFormat="1">
      <c r="G3737" s="340"/>
      <c r="L3737" s="340"/>
      <c r="P3737" s="340"/>
      <c r="U3737" s="340"/>
      <c r="V3737" s="340"/>
      <c r="Z3737" s="340"/>
      <c r="AE3737" s="340"/>
      <c r="AI3737" s="340"/>
      <c r="AN3737" s="340"/>
      <c r="AO3737" s="340"/>
      <c r="AS3737" s="340"/>
      <c r="AX3737" s="340"/>
      <c r="BB3737" s="340"/>
      <c r="BD3737" s="339"/>
    </row>
    <row r="3738" spans="7:56" s="338" customFormat="1">
      <c r="G3738" s="340"/>
      <c r="L3738" s="340"/>
      <c r="P3738" s="340"/>
      <c r="U3738" s="340"/>
      <c r="V3738" s="340"/>
      <c r="Z3738" s="340"/>
      <c r="AE3738" s="340"/>
      <c r="AI3738" s="340"/>
      <c r="AN3738" s="340"/>
      <c r="AO3738" s="340"/>
      <c r="AS3738" s="340"/>
      <c r="AX3738" s="340"/>
      <c r="BB3738" s="340"/>
      <c r="BD3738" s="339"/>
    </row>
    <row r="3739" spans="7:56" s="338" customFormat="1">
      <c r="G3739" s="340"/>
      <c r="L3739" s="340"/>
      <c r="P3739" s="340"/>
      <c r="U3739" s="340"/>
      <c r="V3739" s="340"/>
      <c r="Z3739" s="340"/>
      <c r="AE3739" s="340"/>
      <c r="AI3739" s="340"/>
      <c r="AN3739" s="340"/>
      <c r="AO3739" s="340"/>
      <c r="AS3739" s="340"/>
      <c r="AX3739" s="340"/>
      <c r="BB3739" s="340"/>
      <c r="BD3739" s="339"/>
    </row>
    <row r="3740" spans="7:56" s="338" customFormat="1">
      <c r="G3740" s="340"/>
      <c r="L3740" s="340"/>
      <c r="P3740" s="340"/>
      <c r="U3740" s="340"/>
      <c r="V3740" s="340"/>
      <c r="Z3740" s="340"/>
      <c r="AE3740" s="340"/>
      <c r="AI3740" s="340"/>
      <c r="AN3740" s="340"/>
      <c r="AO3740" s="340"/>
      <c r="AS3740" s="340"/>
      <c r="AX3740" s="340"/>
      <c r="BB3740" s="340"/>
      <c r="BD3740" s="339"/>
    </row>
    <row r="3741" spans="7:56" s="338" customFormat="1">
      <c r="G3741" s="340"/>
      <c r="L3741" s="340"/>
      <c r="P3741" s="340"/>
      <c r="U3741" s="340"/>
      <c r="V3741" s="340"/>
      <c r="Z3741" s="340"/>
      <c r="AE3741" s="340"/>
      <c r="AI3741" s="340"/>
      <c r="AN3741" s="340"/>
      <c r="AO3741" s="340"/>
      <c r="AS3741" s="340"/>
      <c r="AX3741" s="340"/>
      <c r="BB3741" s="340"/>
      <c r="BD3741" s="339"/>
    </row>
    <row r="3742" spans="7:56" s="338" customFormat="1">
      <c r="G3742" s="340"/>
      <c r="L3742" s="340"/>
      <c r="P3742" s="340"/>
      <c r="U3742" s="340"/>
      <c r="V3742" s="340"/>
      <c r="Z3742" s="340"/>
      <c r="AE3742" s="340"/>
      <c r="AI3742" s="340"/>
      <c r="AN3742" s="340"/>
      <c r="AO3742" s="340"/>
      <c r="AS3742" s="340"/>
      <c r="AX3742" s="340"/>
      <c r="BB3742" s="340"/>
      <c r="BD3742" s="339"/>
    </row>
    <row r="3743" spans="7:56" s="338" customFormat="1">
      <c r="G3743" s="340"/>
      <c r="L3743" s="340"/>
      <c r="P3743" s="340"/>
      <c r="U3743" s="340"/>
      <c r="V3743" s="340"/>
      <c r="Z3743" s="340"/>
      <c r="AE3743" s="340"/>
      <c r="AI3743" s="340"/>
      <c r="AN3743" s="340"/>
      <c r="AO3743" s="340"/>
      <c r="AS3743" s="340"/>
      <c r="AX3743" s="340"/>
      <c r="BB3743" s="340"/>
      <c r="BD3743" s="339"/>
    </row>
    <row r="3744" spans="7:56" s="338" customFormat="1">
      <c r="G3744" s="340"/>
      <c r="L3744" s="340"/>
      <c r="P3744" s="340"/>
      <c r="U3744" s="340"/>
      <c r="V3744" s="340"/>
      <c r="Z3744" s="340"/>
      <c r="AE3744" s="340"/>
      <c r="AI3744" s="340"/>
      <c r="AN3744" s="340"/>
      <c r="AO3744" s="340"/>
      <c r="AS3744" s="340"/>
      <c r="AX3744" s="340"/>
      <c r="BB3744" s="340"/>
      <c r="BD3744" s="339"/>
    </row>
    <row r="3745" spans="7:56" s="338" customFormat="1">
      <c r="G3745" s="340"/>
      <c r="L3745" s="340"/>
      <c r="P3745" s="340"/>
      <c r="U3745" s="340"/>
      <c r="V3745" s="340"/>
      <c r="Z3745" s="340"/>
      <c r="AE3745" s="340"/>
      <c r="AI3745" s="340"/>
      <c r="AN3745" s="340"/>
      <c r="AO3745" s="340"/>
      <c r="AS3745" s="340"/>
      <c r="AX3745" s="340"/>
      <c r="BB3745" s="340"/>
      <c r="BD3745" s="339"/>
    </row>
    <row r="3746" spans="7:56" s="338" customFormat="1">
      <c r="G3746" s="340"/>
      <c r="L3746" s="340"/>
      <c r="P3746" s="340"/>
      <c r="U3746" s="340"/>
      <c r="V3746" s="340"/>
      <c r="Z3746" s="340"/>
      <c r="AE3746" s="340"/>
      <c r="AI3746" s="340"/>
      <c r="AN3746" s="340"/>
      <c r="AO3746" s="340"/>
      <c r="AS3746" s="340"/>
      <c r="AX3746" s="340"/>
      <c r="BB3746" s="340"/>
      <c r="BD3746" s="339"/>
    </row>
    <row r="3747" spans="7:56" s="338" customFormat="1">
      <c r="G3747" s="340"/>
      <c r="L3747" s="340"/>
      <c r="P3747" s="340"/>
      <c r="U3747" s="340"/>
      <c r="V3747" s="340"/>
      <c r="Z3747" s="340"/>
      <c r="AE3747" s="340"/>
      <c r="AI3747" s="340"/>
      <c r="AN3747" s="340"/>
      <c r="AO3747" s="340"/>
      <c r="AS3747" s="340"/>
      <c r="AX3747" s="340"/>
      <c r="BB3747" s="340"/>
      <c r="BD3747" s="339"/>
    </row>
    <row r="3748" spans="7:56" s="338" customFormat="1">
      <c r="G3748" s="340"/>
      <c r="L3748" s="340"/>
      <c r="P3748" s="340"/>
      <c r="U3748" s="340"/>
      <c r="V3748" s="340"/>
      <c r="Z3748" s="340"/>
      <c r="AE3748" s="340"/>
      <c r="AI3748" s="340"/>
      <c r="AN3748" s="340"/>
      <c r="AO3748" s="340"/>
      <c r="AS3748" s="340"/>
      <c r="AX3748" s="340"/>
      <c r="BB3748" s="340"/>
      <c r="BD3748" s="339"/>
    </row>
    <row r="3749" spans="7:56" s="338" customFormat="1">
      <c r="G3749" s="340"/>
      <c r="L3749" s="340"/>
      <c r="P3749" s="340"/>
      <c r="U3749" s="340"/>
      <c r="V3749" s="340"/>
      <c r="Z3749" s="340"/>
      <c r="AE3749" s="340"/>
      <c r="AI3749" s="340"/>
      <c r="AN3749" s="340"/>
      <c r="AO3749" s="340"/>
      <c r="AS3749" s="340"/>
      <c r="AX3749" s="340"/>
      <c r="BB3749" s="340"/>
      <c r="BD3749" s="339"/>
    </row>
    <row r="3750" spans="7:56" s="338" customFormat="1">
      <c r="G3750" s="340"/>
      <c r="L3750" s="340"/>
      <c r="P3750" s="340"/>
      <c r="U3750" s="340"/>
      <c r="V3750" s="340"/>
      <c r="Z3750" s="340"/>
      <c r="AE3750" s="340"/>
      <c r="AI3750" s="340"/>
      <c r="AN3750" s="340"/>
      <c r="AO3750" s="340"/>
      <c r="AS3750" s="340"/>
      <c r="AX3750" s="340"/>
      <c r="BB3750" s="340"/>
      <c r="BD3750" s="339"/>
    </row>
    <row r="3751" spans="7:56" s="338" customFormat="1">
      <c r="G3751" s="340"/>
      <c r="L3751" s="340"/>
      <c r="P3751" s="340"/>
      <c r="U3751" s="340"/>
      <c r="V3751" s="340"/>
      <c r="Z3751" s="340"/>
      <c r="AE3751" s="340"/>
      <c r="AI3751" s="340"/>
      <c r="AN3751" s="340"/>
      <c r="AO3751" s="340"/>
      <c r="AS3751" s="340"/>
      <c r="AX3751" s="340"/>
      <c r="BB3751" s="340"/>
      <c r="BD3751" s="339"/>
    </row>
    <row r="3752" spans="7:56" s="338" customFormat="1">
      <c r="G3752" s="340"/>
      <c r="L3752" s="340"/>
      <c r="P3752" s="340"/>
      <c r="U3752" s="340"/>
      <c r="V3752" s="340"/>
      <c r="Z3752" s="340"/>
      <c r="AE3752" s="340"/>
      <c r="AI3752" s="340"/>
      <c r="AN3752" s="340"/>
      <c r="AO3752" s="340"/>
      <c r="AS3752" s="340"/>
      <c r="AX3752" s="340"/>
      <c r="BB3752" s="340"/>
      <c r="BD3752" s="339"/>
    </row>
    <row r="3753" spans="7:56" s="338" customFormat="1">
      <c r="G3753" s="340"/>
      <c r="L3753" s="340"/>
      <c r="P3753" s="340"/>
      <c r="U3753" s="340"/>
      <c r="V3753" s="340"/>
      <c r="Z3753" s="340"/>
      <c r="AE3753" s="340"/>
      <c r="AI3753" s="340"/>
      <c r="AN3753" s="340"/>
      <c r="AO3753" s="340"/>
      <c r="AS3753" s="340"/>
      <c r="AX3753" s="340"/>
      <c r="BB3753" s="340"/>
      <c r="BD3753" s="339"/>
    </row>
    <row r="3754" spans="7:56" s="338" customFormat="1">
      <c r="G3754" s="340"/>
      <c r="L3754" s="340"/>
      <c r="P3754" s="340"/>
      <c r="U3754" s="340"/>
      <c r="V3754" s="340"/>
      <c r="Z3754" s="340"/>
      <c r="AE3754" s="340"/>
      <c r="AI3754" s="340"/>
      <c r="AN3754" s="340"/>
      <c r="AO3754" s="340"/>
      <c r="AS3754" s="340"/>
      <c r="AX3754" s="340"/>
      <c r="BB3754" s="340"/>
      <c r="BD3754" s="339"/>
    </row>
    <row r="3755" spans="7:56" s="338" customFormat="1">
      <c r="G3755" s="340"/>
      <c r="L3755" s="340"/>
      <c r="P3755" s="340"/>
      <c r="U3755" s="340"/>
      <c r="V3755" s="340"/>
      <c r="Z3755" s="340"/>
      <c r="AE3755" s="340"/>
      <c r="AI3755" s="340"/>
      <c r="AN3755" s="340"/>
      <c r="AO3755" s="340"/>
      <c r="AS3755" s="340"/>
      <c r="AX3755" s="340"/>
      <c r="BB3755" s="340"/>
      <c r="BD3755" s="339"/>
    </row>
    <row r="3756" spans="7:56" s="338" customFormat="1">
      <c r="G3756" s="340"/>
      <c r="L3756" s="340"/>
      <c r="P3756" s="340"/>
      <c r="U3756" s="340"/>
      <c r="V3756" s="340"/>
      <c r="Z3756" s="340"/>
      <c r="AE3756" s="340"/>
      <c r="AI3756" s="340"/>
      <c r="AN3756" s="340"/>
      <c r="AO3756" s="340"/>
      <c r="AS3756" s="340"/>
      <c r="AX3756" s="340"/>
      <c r="BB3756" s="340"/>
      <c r="BD3756" s="339"/>
    </row>
    <row r="3757" spans="7:56" s="338" customFormat="1">
      <c r="G3757" s="340"/>
      <c r="L3757" s="340"/>
      <c r="P3757" s="340"/>
      <c r="U3757" s="340"/>
      <c r="V3757" s="340"/>
      <c r="Z3757" s="340"/>
      <c r="AE3757" s="340"/>
      <c r="AI3757" s="340"/>
      <c r="AN3757" s="340"/>
      <c r="AO3757" s="340"/>
      <c r="AS3757" s="340"/>
      <c r="AX3757" s="340"/>
      <c r="BB3757" s="340"/>
      <c r="BD3757" s="339"/>
    </row>
    <row r="3758" spans="7:56" s="338" customFormat="1">
      <c r="G3758" s="340"/>
      <c r="L3758" s="340"/>
      <c r="P3758" s="340"/>
      <c r="U3758" s="340"/>
      <c r="V3758" s="340"/>
      <c r="Z3758" s="340"/>
      <c r="AE3758" s="340"/>
      <c r="AI3758" s="340"/>
      <c r="AN3758" s="340"/>
      <c r="AO3758" s="340"/>
      <c r="AS3758" s="340"/>
      <c r="AX3758" s="340"/>
      <c r="BB3758" s="340"/>
      <c r="BD3758" s="339"/>
    </row>
    <row r="3759" spans="7:56" s="338" customFormat="1">
      <c r="G3759" s="340"/>
      <c r="L3759" s="340"/>
      <c r="P3759" s="340"/>
      <c r="U3759" s="340"/>
      <c r="V3759" s="340"/>
      <c r="Z3759" s="340"/>
      <c r="AE3759" s="340"/>
      <c r="AI3759" s="340"/>
      <c r="AN3759" s="340"/>
      <c r="AO3759" s="340"/>
      <c r="AS3759" s="340"/>
      <c r="AX3759" s="340"/>
      <c r="BB3759" s="340"/>
      <c r="BD3759" s="339"/>
    </row>
    <row r="3760" spans="7:56" s="338" customFormat="1">
      <c r="G3760" s="340"/>
      <c r="L3760" s="340"/>
      <c r="P3760" s="340"/>
      <c r="U3760" s="340"/>
      <c r="V3760" s="340"/>
      <c r="Z3760" s="340"/>
      <c r="AE3760" s="340"/>
      <c r="AI3760" s="340"/>
      <c r="AN3760" s="340"/>
      <c r="AO3760" s="340"/>
      <c r="AS3760" s="340"/>
      <c r="AX3760" s="340"/>
      <c r="BB3760" s="340"/>
      <c r="BD3760" s="339"/>
    </row>
    <row r="3761" spans="7:56" s="338" customFormat="1">
      <c r="G3761" s="340"/>
      <c r="L3761" s="340"/>
      <c r="P3761" s="340"/>
      <c r="U3761" s="340"/>
      <c r="V3761" s="340"/>
      <c r="Z3761" s="340"/>
      <c r="AE3761" s="340"/>
      <c r="AI3761" s="340"/>
      <c r="AN3761" s="340"/>
      <c r="AO3761" s="340"/>
      <c r="AS3761" s="340"/>
      <c r="AX3761" s="340"/>
      <c r="BB3761" s="340"/>
      <c r="BD3761" s="339"/>
    </row>
    <row r="3762" spans="7:56" s="338" customFormat="1">
      <c r="G3762" s="340"/>
      <c r="L3762" s="340"/>
      <c r="P3762" s="340"/>
      <c r="U3762" s="340"/>
      <c r="V3762" s="340"/>
      <c r="Z3762" s="340"/>
      <c r="AE3762" s="340"/>
      <c r="AI3762" s="340"/>
      <c r="AN3762" s="340"/>
      <c r="AO3762" s="340"/>
      <c r="AS3762" s="340"/>
      <c r="AX3762" s="340"/>
      <c r="BB3762" s="340"/>
      <c r="BD3762" s="339"/>
    </row>
    <row r="3763" spans="7:56" s="338" customFormat="1">
      <c r="G3763" s="340"/>
      <c r="L3763" s="340"/>
      <c r="P3763" s="340"/>
      <c r="U3763" s="340"/>
      <c r="V3763" s="340"/>
      <c r="Z3763" s="340"/>
      <c r="AE3763" s="340"/>
      <c r="AI3763" s="340"/>
      <c r="AN3763" s="340"/>
      <c r="AO3763" s="340"/>
      <c r="AS3763" s="340"/>
      <c r="AX3763" s="340"/>
      <c r="BB3763" s="340"/>
      <c r="BD3763" s="339"/>
    </row>
    <row r="3764" spans="7:56" s="338" customFormat="1">
      <c r="G3764" s="340"/>
      <c r="L3764" s="340"/>
      <c r="P3764" s="340"/>
      <c r="U3764" s="340"/>
      <c r="V3764" s="340"/>
      <c r="Z3764" s="340"/>
      <c r="AE3764" s="340"/>
      <c r="AI3764" s="340"/>
      <c r="AN3764" s="340"/>
      <c r="AO3764" s="340"/>
      <c r="AS3764" s="340"/>
      <c r="AX3764" s="340"/>
      <c r="BB3764" s="340"/>
      <c r="BD3764" s="339"/>
    </row>
    <row r="3765" spans="7:56" s="338" customFormat="1">
      <c r="G3765" s="340"/>
      <c r="L3765" s="340"/>
      <c r="P3765" s="340"/>
      <c r="U3765" s="340"/>
      <c r="V3765" s="340"/>
      <c r="Z3765" s="340"/>
      <c r="AE3765" s="340"/>
      <c r="AI3765" s="340"/>
      <c r="AN3765" s="340"/>
      <c r="AO3765" s="340"/>
      <c r="AS3765" s="340"/>
      <c r="AX3765" s="340"/>
      <c r="BB3765" s="340"/>
      <c r="BD3765" s="339"/>
    </row>
    <row r="3766" spans="7:56" s="338" customFormat="1">
      <c r="G3766" s="340"/>
      <c r="L3766" s="340"/>
      <c r="P3766" s="340"/>
      <c r="U3766" s="340"/>
      <c r="V3766" s="340"/>
      <c r="Z3766" s="340"/>
      <c r="AE3766" s="340"/>
      <c r="AI3766" s="340"/>
      <c r="AN3766" s="340"/>
      <c r="AO3766" s="340"/>
      <c r="AS3766" s="340"/>
      <c r="AX3766" s="340"/>
      <c r="BB3766" s="340"/>
      <c r="BD3766" s="339"/>
    </row>
    <row r="3767" spans="7:56" s="338" customFormat="1">
      <c r="G3767" s="340"/>
      <c r="L3767" s="340"/>
      <c r="P3767" s="340"/>
      <c r="U3767" s="340"/>
      <c r="V3767" s="340"/>
      <c r="Z3767" s="340"/>
      <c r="AE3767" s="340"/>
      <c r="AI3767" s="340"/>
      <c r="AN3767" s="340"/>
      <c r="AO3767" s="340"/>
      <c r="AS3767" s="340"/>
      <c r="AX3767" s="340"/>
      <c r="BB3767" s="340"/>
      <c r="BD3767" s="339"/>
    </row>
    <row r="3768" spans="7:56" s="338" customFormat="1">
      <c r="G3768" s="340"/>
      <c r="L3768" s="340"/>
      <c r="P3768" s="340"/>
      <c r="U3768" s="340"/>
      <c r="V3768" s="340"/>
      <c r="Z3768" s="340"/>
      <c r="AE3768" s="340"/>
      <c r="AI3768" s="340"/>
      <c r="AN3768" s="340"/>
      <c r="AO3768" s="340"/>
      <c r="AS3768" s="340"/>
      <c r="AX3768" s="340"/>
      <c r="BB3768" s="340"/>
      <c r="BD3768" s="339"/>
    </row>
    <row r="3769" spans="7:56" s="338" customFormat="1">
      <c r="G3769" s="340"/>
      <c r="L3769" s="340"/>
      <c r="P3769" s="340"/>
      <c r="U3769" s="340"/>
      <c r="V3769" s="340"/>
      <c r="Z3769" s="340"/>
      <c r="AE3769" s="340"/>
      <c r="AI3769" s="340"/>
      <c r="AN3769" s="340"/>
      <c r="AO3769" s="340"/>
      <c r="AS3769" s="340"/>
      <c r="AX3769" s="340"/>
      <c r="BB3769" s="340"/>
      <c r="BD3769" s="339"/>
    </row>
    <row r="3770" spans="7:56" s="338" customFormat="1">
      <c r="G3770" s="340"/>
      <c r="L3770" s="340"/>
      <c r="P3770" s="340"/>
      <c r="U3770" s="340"/>
      <c r="V3770" s="340"/>
      <c r="Z3770" s="340"/>
      <c r="AE3770" s="340"/>
      <c r="AI3770" s="340"/>
      <c r="AN3770" s="340"/>
      <c r="AO3770" s="340"/>
      <c r="AS3770" s="340"/>
      <c r="AX3770" s="340"/>
      <c r="BB3770" s="340"/>
      <c r="BD3770" s="339"/>
    </row>
    <row r="3771" spans="7:56" s="338" customFormat="1">
      <c r="G3771" s="340"/>
      <c r="L3771" s="340"/>
      <c r="P3771" s="340"/>
      <c r="U3771" s="340"/>
      <c r="V3771" s="340"/>
      <c r="Z3771" s="340"/>
      <c r="AE3771" s="340"/>
      <c r="AI3771" s="340"/>
      <c r="AN3771" s="340"/>
      <c r="AO3771" s="340"/>
      <c r="AS3771" s="340"/>
      <c r="AX3771" s="340"/>
      <c r="BB3771" s="340"/>
      <c r="BD3771" s="339"/>
    </row>
    <row r="3772" spans="7:56" s="338" customFormat="1">
      <c r="G3772" s="340"/>
      <c r="L3772" s="340"/>
      <c r="P3772" s="340"/>
      <c r="U3772" s="340"/>
      <c r="V3772" s="340"/>
      <c r="Z3772" s="340"/>
      <c r="AE3772" s="340"/>
      <c r="AI3772" s="340"/>
      <c r="AN3772" s="340"/>
      <c r="AO3772" s="340"/>
      <c r="AS3772" s="340"/>
      <c r="AX3772" s="340"/>
      <c r="BB3772" s="340"/>
      <c r="BD3772" s="339"/>
    </row>
    <row r="3773" spans="7:56" s="338" customFormat="1">
      <c r="G3773" s="340"/>
      <c r="L3773" s="340"/>
      <c r="P3773" s="340"/>
      <c r="U3773" s="340"/>
      <c r="V3773" s="340"/>
      <c r="Z3773" s="340"/>
      <c r="AE3773" s="340"/>
      <c r="AI3773" s="340"/>
      <c r="AN3773" s="340"/>
      <c r="AO3773" s="340"/>
      <c r="AS3773" s="340"/>
      <c r="AX3773" s="340"/>
      <c r="BB3773" s="340"/>
      <c r="BD3773" s="339"/>
    </row>
    <row r="3774" spans="7:56" s="338" customFormat="1">
      <c r="G3774" s="340"/>
      <c r="L3774" s="340"/>
      <c r="P3774" s="340"/>
      <c r="U3774" s="340"/>
      <c r="V3774" s="340"/>
      <c r="Z3774" s="340"/>
      <c r="AE3774" s="340"/>
      <c r="AI3774" s="340"/>
      <c r="AN3774" s="340"/>
      <c r="AO3774" s="340"/>
      <c r="AS3774" s="340"/>
      <c r="AX3774" s="340"/>
      <c r="BB3774" s="340"/>
      <c r="BD3774" s="339"/>
    </row>
    <row r="3775" spans="7:56" s="338" customFormat="1">
      <c r="G3775" s="340"/>
      <c r="L3775" s="340"/>
      <c r="P3775" s="340"/>
      <c r="U3775" s="340"/>
      <c r="V3775" s="340"/>
      <c r="Z3775" s="340"/>
      <c r="AE3775" s="340"/>
      <c r="AI3775" s="340"/>
      <c r="AN3775" s="340"/>
      <c r="AO3775" s="340"/>
      <c r="AS3775" s="340"/>
      <c r="AX3775" s="340"/>
      <c r="BB3775" s="340"/>
      <c r="BD3775" s="339"/>
    </row>
    <row r="3776" spans="7:56" s="338" customFormat="1">
      <c r="G3776" s="340"/>
      <c r="L3776" s="340"/>
      <c r="P3776" s="340"/>
      <c r="U3776" s="340"/>
      <c r="V3776" s="340"/>
      <c r="Z3776" s="340"/>
      <c r="AE3776" s="340"/>
      <c r="AI3776" s="340"/>
      <c r="AN3776" s="340"/>
      <c r="AO3776" s="340"/>
      <c r="AS3776" s="340"/>
      <c r="AX3776" s="340"/>
      <c r="BB3776" s="340"/>
      <c r="BD3776" s="339"/>
    </row>
    <row r="3777" spans="7:56" s="338" customFormat="1">
      <c r="G3777" s="340"/>
      <c r="L3777" s="340"/>
      <c r="P3777" s="340"/>
      <c r="U3777" s="340"/>
      <c r="V3777" s="340"/>
      <c r="Z3777" s="340"/>
      <c r="AE3777" s="340"/>
      <c r="AI3777" s="340"/>
      <c r="AN3777" s="340"/>
      <c r="AO3777" s="340"/>
      <c r="AS3777" s="340"/>
      <c r="AX3777" s="340"/>
      <c r="BB3777" s="340"/>
      <c r="BD3777" s="339"/>
    </row>
    <row r="3778" spans="7:56" s="338" customFormat="1">
      <c r="G3778" s="340"/>
      <c r="L3778" s="340"/>
      <c r="P3778" s="340"/>
      <c r="U3778" s="340"/>
      <c r="V3778" s="340"/>
      <c r="Z3778" s="340"/>
      <c r="AE3778" s="340"/>
      <c r="AI3778" s="340"/>
      <c r="AN3778" s="340"/>
      <c r="AO3778" s="340"/>
      <c r="AS3778" s="340"/>
      <c r="AX3778" s="340"/>
      <c r="BB3778" s="340"/>
      <c r="BD3778" s="339"/>
    </row>
    <row r="3779" spans="7:56" s="338" customFormat="1">
      <c r="G3779" s="340"/>
      <c r="L3779" s="340"/>
      <c r="P3779" s="340"/>
      <c r="U3779" s="340"/>
      <c r="V3779" s="340"/>
      <c r="Z3779" s="340"/>
      <c r="AE3779" s="340"/>
      <c r="AI3779" s="340"/>
      <c r="AN3779" s="340"/>
      <c r="AO3779" s="340"/>
      <c r="AS3779" s="340"/>
      <c r="AX3779" s="340"/>
      <c r="BB3779" s="340"/>
      <c r="BD3779" s="339"/>
    </row>
    <row r="3780" spans="7:56" s="338" customFormat="1">
      <c r="G3780" s="340"/>
      <c r="L3780" s="340"/>
      <c r="P3780" s="340"/>
      <c r="U3780" s="340"/>
      <c r="V3780" s="340"/>
      <c r="Z3780" s="340"/>
      <c r="AE3780" s="340"/>
      <c r="AI3780" s="340"/>
      <c r="AN3780" s="340"/>
      <c r="AO3780" s="340"/>
      <c r="AS3780" s="340"/>
      <c r="AX3780" s="340"/>
      <c r="BB3780" s="340"/>
      <c r="BD3780" s="339"/>
    </row>
    <row r="3781" spans="7:56" s="338" customFormat="1">
      <c r="G3781" s="340"/>
      <c r="L3781" s="340"/>
      <c r="P3781" s="340"/>
      <c r="U3781" s="340"/>
      <c r="V3781" s="340"/>
      <c r="Z3781" s="340"/>
      <c r="AE3781" s="340"/>
      <c r="AI3781" s="340"/>
      <c r="AN3781" s="340"/>
      <c r="AO3781" s="340"/>
      <c r="AS3781" s="340"/>
      <c r="AX3781" s="340"/>
      <c r="BB3781" s="340"/>
      <c r="BD3781" s="339"/>
    </row>
    <row r="3782" spans="7:56" s="338" customFormat="1">
      <c r="G3782" s="340"/>
      <c r="L3782" s="340"/>
      <c r="P3782" s="340"/>
      <c r="U3782" s="340"/>
      <c r="V3782" s="340"/>
      <c r="Z3782" s="340"/>
      <c r="AE3782" s="340"/>
      <c r="AI3782" s="340"/>
      <c r="AN3782" s="340"/>
      <c r="AO3782" s="340"/>
      <c r="AS3782" s="340"/>
      <c r="AX3782" s="340"/>
      <c r="BB3782" s="340"/>
      <c r="BD3782" s="339"/>
    </row>
    <row r="3783" spans="7:56" s="338" customFormat="1">
      <c r="G3783" s="340"/>
      <c r="L3783" s="340"/>
      <c r="P3783" s="340"/>
      <c r="U3783" s="340"/>
      <c r="V3783" s="340"/>
      <c r="Z3783" s="340"/>
      <c r="AE3783" s="340"/>
      <c r="AI3783" s="340"/>
      <c r="AN3783" s="340"/>
      <c r="AO3783" s="340"/>
      <c r="AS3783" s="340"/>
      <c r="AX3783" s="340"/>
      <c r="BB3783" s="340"/>
      <c r="BD3783" s="339"/>
    </row>
    <row r="3784" spans="7:56" s="338" customFormat="1">
      <c r="G3784" s="340"/>
      <c r="L3784" s="340"/>
      <c r="P3784" s="340"/>
      <c r="U3784" s="340"/>
      <c r="V3784" s="340"/>
      <c r="Z3784" s="340"/>
      <c r="AE3784" s="340"/>
      <c r="AI3784" s="340"/>
      <c r="AN3784" s="340"/>
      <c r="AO3784" s="340"/>
      <c r="AS3784" s="340"/>
      <c r="AX3784" s="340"/>
      <c r="BB3784" s="340"/>
      <c r="BD3784" s="339"/>
    </row>
    <row r="3785" spans="7:56" s="338" customFormat="1">
      <c r="G3785" s="340"/>
      <c r="L3785" s="340"/>
      <c r="P3785" s="340"/>
      <c r="U3785" s="340"/>
      <c r="V3785" s="340"/>
      <c r="Z3785" s="340"/>
      <c r="AE3785" s="340"/>
      <c r="AI3785" s="340"/>
      <c r="AN3785" s="340"/>
      <c r="AO3785" s="340"/>
      <c r="AS3785" s="340"/>
      <c r="AX3785" s="340"/>
      <c r="BB3785" s="340"/>
      <c r="BD3785" s="339"/>
    </row>
    <row r="3786" spans="7:56" s="338" customFormat="1">
      <c r="G3786" s="340"/>
      <c r="L3786" s="340"/>
      <c r="P3786" s="340"/>
      <c r="U3786" s="340"/>
      <c r="V3786" s="340"/>
      <c r="Z3786" s="340"/>
      <c r="AE3786" s="340"/>
      <c r="AI3786" s="340"/>
      <c r="AN3786" s="340"/>
      <c r="AO3786" s="340"/>
      <c r="AS3786" s="340"/>
      <c r="AX3786" s="340"/>
      <c r="BB3786" s="340"/>
      <c r="BD3786" s="339"/>
    </row>
    <row r="3787" spans="7:56" s="338" customFormat="1">
      <c r="G3787" s="340"/>
      <c r="L3787" s="340"/>
      <c r="P3787" s="340"/>
      <c r="U3787" s="340"/>
      <c r="V3787" s="340"/>
      <c r="Z3787" s="340"/>
      <c r="AE3787" s="340"/>
      <c r="AI3787" s="340"/>
      <c r="AN3787" s="340"/>
      <c r="AO3787" s="340"/>
      <c r="AS3787" s="340"/>
      <c r="AX3787" s="340"/>
      <c r="BB3787" s="340"/>
      <c r="BD3787" s="339"/>
    </row>
    <row r="3788" spans="7:56" s="338" customFormat="1">
      <c r="G3788" s="340"/>
      <c r="L3788" s="340"/>
      <c r="P3788" s="340"/>
      <c r="U3788" s="340"/>
      <c r="V3788" s="340"/>
      <c r="Z3788" s="340"/>
      <c r="AE3788" s="340"/>
      <c r="AI3788" s="340"/>
      <c r="AN3788" s="340"/>
      <c r="AO3788" s="340"/>
      <c r="AS3788" s="340"/>
      <c r="AX3788" s="340"/>
      <c r="BB3788" s="340"/>
      <c r="BD3788" s="339"/>
    </row>
    <row r="3789" spans="7:56" s="338" customFormat="1">
      <c r="G3789" s="340"/>
      <c r="L3789" s="340"/>
      <c r="P3789" s="340"/>
      <c r="U3789" s="340"/>
      <c r="V3789" s="340"/>
      <c r="Z3789" s="340"/>
      <c r="AE3789" s="340"/>
      <c r="AI3789" s="340"/>
      <c r="AN3789" s="340"/>
      <c r="AO3789" s="340"/>
      <c r="AS3789" s="340"/>
      <c r="AX3789" s="340"/>
      <c r="BB3789" s="340"/>
      <c r="BD3789" s="339"/>
    </row>
    <row r="3790" spans="7:56" s="338" customFormat="1">
      <c r="G3790" s="340"/>
      <c r="L3790" s="340"/>
      <c r="P3790" s="340"/>
      <c r="U3790" s="340"/>
      <c r="V3790" s="340"/>
      <c r="Z3790" s="340"/>
      <c r="AE3790" s="340"/>
      <c r="AI3790" s="340"/>
      <c r="AN3790" s="340"/>
      <c r="AO3790" s="340"/>
      <c r="AS3790" s="340"/>
      <c r="AX3790" s="340"/>
      <c r="BB3790" s="340"/>
      <c r="BD3790" s="339"/>
    </row>
    <row r="3791" spans="7:56" s="338" customFormat="1">
      <c r="G3791" s="340"/>
      <c r="L3791" s="340"/>
      <c r="P3791" s="340"/>
      <c r="U3791" s="340"/>
      <c r="V3791" s="340"/>
      <c r="Z3791" s="340"/>
      <c r="AE3791" s="340"/>
      <c r="AI3791" s="340"/>
      <c r="AN3791" s="340"/>
      <c r="AO3791" s="340"/>
      <c r="AS3791" s="340"/>
      <c r="AX3791" s="340"/>
      <c r="BB3791" s="340"/>
      <c r="BD3791" s="339"/>
    </row>
    <row r="3792" spans="7:56" s="338" customFormat="1">
      <c r="G3792" s="340"/>
      <c r="L3792" s="340"/>
      <c r="P3792" s="340"/>
      <c r="U3792" s="340"/>
      <c r="V3792" s="340"/>
      <c r="Z3792" s="340"/>
      <c r="AE3792" s="340"/>
      <c r="AI3792" s="340"/>
      <c r="AN3792" s="340"/>
      <c r="AO3792" s="340"/>
      <c r="AS3792" s="340"/>
      <c r="AX3792" s="340"/>
      <c r="BB3792" s="340"/>
      <c r="BD3792" s="339"/>
    </row>
    <row r="3793" spans="7:56" s="338" customFormat="1">
      <c r="G3793" s="340"/>
      <c r="L3793" s="340"/>
      <c r="P3793" s="340"/>
      <c r="U3793" s="340"/>
      <c r="V3793" s="340"/>
      <c r="Z3793" s="340"/>
      <c r="AE3793" s="340"/>
      <c r="AI3793" s="340"/>
      <c r="AN3793" s="340"/>
      <c r="AO3793" s="340"/>
      <c r="AS3793" s="340"/>
      <c r="AX3793" s="340"/>
      <c r="BB3793" s="340"/>
      <c r="BD3793" s="339"/>
    </row>
    <row r="3794" spans="7:56" s="338" customFormat="1">
      <c r="G3794" s="340"/>
      <c r="L3794" s="340"/>
      <c r="P3794" s="340"/>
      <c r="U3794" s="340"/>
      <c r="V3794" s="340"/>
      <c r="Z3794" s="340"/>
      <c r="AE3794" s="340"/>
      <c r="AI3794" s="340"/>
      <c r="AN3794" s="340"/>
      <c r="AO3794" s="340"/>
      <c r="AS3794" s="340"/>
      <c r="AX3794" s="340"/>
      <c r="BB3794" s="340"/>
      <c r="BD3794" s="339"/>
    </row>
    <row r="3795" spans="7:56" s="338" customFormat="1">
      <c r="G3795" s="340"/>
      <c r="L3795" s="340"/>
      <c r="P3795" s="340"/>
      <c r="U3795" s="340"/>
      <c r="V3795" s="340"/>
      <c r="Z3795" s="340"/>
      <c r="AE3795" s="340"/>
      <c r="AI3795" s="340"/>
      <c r="AN3795" s="340"/>
      <c r="AO3795" s="340"/>
      <c r="AS3795" s="340"/>
      <c r="AX3795" s="340"/>
      <c r="BB3795" s="340"/>
      <c r="BD3795" s="339"/>
    </row>
    <row r="3796" spans="7:56" s="338" customFormat="1">
      <c r="G3796" s="340"/>
      <c r="L3796" s="340"/>
      <c r="P3796" s="340"/>
      <c r="U3796" s="340"/>
      <c r="V3796" s="340"/>
      <c r="Z3796" s="340"/>
      <c r="AE3796" s="340"/>
      <c r="AI3796" s="340"/>
      <c r="AN3796" s="340"/>
      <c r="AO3796" s="340"/>
      <c r="AS3796" s="340"/>
      <c r="AX3796" s="340"/>
      <c r="BB3796" s="340"/>
      <c r="BD3796" s="339"/>
    </row>
    <row r="3797" spans="7:56" s="338" customFormat="1">
      <c r="G3797" s="340"/>
      <c r="L3797" s="340"/>
      <c r="P3797" s="340"/>
      <c r="U3797" s="340"/>
      <c r="V3797" s="340"/>
      <c r="Z3797" s="340"/>
      <c r="AE3797" s="340"/>
      <c r="AI3797" s="340"/>
      <c r="AN3797" s="340"/>
      <c r="AO3797" s="340"/>
      <c r="AS3797" s="340"/>
      <c r="AX3797" s="340"/>
      <c r="BB3797" s="340"/>
      <c r="BD3797" s="339"/>
    </row>
    <row r="3798" spans="7:56" s="338" customFormat="1">
      <c r="G3798" s="340"/>
      <c r="L3798" s="340"/>
      <c r="P3798" s="340"/>
      <c r="U3798" s="340"/>
      <c r="V3798" s="340"/>
      <c r="Z3798" s="340"/>
      <c r="AE3798" s="340"/>
      <c r="AI3798" s="340"/>
      <c r="AN3798" s="340"/>
      <c r="AO3798" s="340"/>
      <c r="AS3798" s="340"/>
      <c r="AX3798" s="340"/>
      <c r="BB3798" s="340"/>
      <c r="BD3798" s="339"/>
    </row>
    <row r="3799" spans="7:56" s="338" customFormat="1">
      <c r="G3799" s="340"/>
      <c r="L3799" s="340"/>
      <c r="P3799" s="340"/>
      <c r="U3799" s="340"/>
      <c r="V3799" s="340"/>
      <c r="Z3799" s="340"/>
      <c r="AE3799" s="340"/>
      <c r="AI3799" s="340"/>
      <c r="AN3799" s="340"/>
      <c r="AO3799" s="340"/>
      <c r="AS3799" s="340"/>
      <c r="AX3799" s="340"/>
      <c r="BB3799" s="340"/>
      <c r="BD3799" s="339"/>
    </row>
    <row r="3800" spans="7:56" s="338" customFormat="1">
      <c r="G3800" s="340"/>
      <c r="L3800" s="340"/>
      <c r="P3800" s="340"/>
      <c r="U3800" s="340"/>
      <c r="V3800" s="340"/>
      <c r="Z3800" s="340"/>
      <c r="AE3800" s="340"/>
      <c r="AI3800" s="340"/>
      <c r="AN3800" s="340"/>
      <c r="AO3800" s="340"/>
      <c r="AS3800" s="340"/>
      <c r="AX3800" s="340"/>
      <c r="BB3800" s="340"/>
      <c r="BD3800" s="339"/>
    </row>
    <row r="3801" spans="7:56" s="338" customFormat="1">
      <c r="G3801" s="340"/>
      <c r="L3801" s="340"/>
      <c r="P3801" s="340"/>
      <c r="U3801" s="340"/>
      <c r="V3801" s="340"/>
      <c r="Z3801" s="340"/>
      <c r="AE3801" s="340"/>
      <c r="AI3801" s="340"/>
      <c r="AN3801" s="340"/>
      <c r="AO3801" s="340"/>
      <c r="AS3801" s="340"/>
      <c r="AX3801" s="340"/>
      <c r="BB3801" s="340"/>
      <c r="BD3801" s="339"/>
    </row>
    <row r="3802" spans="7:56" s="338" customFormat="1">
      <c r="G3802" s="340"/>
      <c r="L3802" s="340"/>
      <c r="P3802" s="340"/>
      <c r="U3802" s="340"/>
      <c r="V3802" s="340"/>
      <c r="Z3802" s="340"/>
      <c r="AE3802" s="340"/>
      <c r="AI3802" s="340"/>
      <c r="AN3802" s="340"/>
      <c r="AO3802" s="340"/>
      <c r="AS3802" s="340"/>
      <c r="AX3802" s="340"/>
      <c r="BB3802" s="340"/>
      <c r="BD3802" s="339"/>
    </row>
    <row r="3803" spans="7:56" s="338" customFormat="1">
      <c r="G3803" s="340"/>
      <c r="L3803" s="340"/>
      <c r="P3803" s="340"/>
      <c r="U3803" s="340"/>
      <c r="V3803" s="340"/>
      <c r="Z3803" s="340"/>
      <c r="AE3803" s="340"/>
      <c r="AI3803" s="340"/>
      <c r="AN3803" s="340"/>
      <c r="AO3803" s="340"/>
      <c r="AS3803" s="340"/>
      <c r="AX3803" s="340"/>
      <c r="BB3803" s="340"/>
      <c r="BD3803" s="339"/>
    </row>
    <row r="3804" spans="7:56" s="338" customFormat="1">
      <c r="G3804" s="340"/>
      <c r="L3804" s="340"/>
      <c r="P3804" s="340"/>
      <c r="U3804" s="340"/>
      <c r="V3804" s="340"/>
      <c r="Z3804" s="340"/>
      <c r="AE3804" s="340"/>
      <c r="AI3804" s="340"/>
      <c r="AN3804" s="340"/>
      <c r="AO3804" s="340"/>
      <c r="AS3804" s="340"/>
      <c r="AX3804" s="340"/>
      <c r="BB3804" s="340"/>
      <c r="BD3804" s="339"/>
    </row>
    <row r="3805" spans="7:56" s="338" customFormat="1">
      <c r="G3805" s="340"/>
      <c r="L3805" s="340"/>
      <c r="P3805" s="340"/>
      <c r="U3805" s="340"/>
      <c r="V3805" s="340"/>
      <c r="Z3805" s="340"/>
      <c r="AE3805" s="340"/>
      <c r="AI3805" s="340"/>
      <c r="AN3805" s="340"/>
      <c r="AO3805" s="340"/>
      <c r="AS3805" s="340"/>
      <c r="AX3805" s="340"/>
      <c r="BB3805" s="340"/>
      <c r="BD3805" s="339"/>
    </row>
    <row r="3806" spans="7:56" s="338" customFormat="1">
      <c r="G3806" s="340"/>
      <c r="L3806" s="340"/>
      <c r="P3806" s="340"/>
      <c r="U3806" s="340"/>
      <c r="V3806" s="340"/>
      <c r="Z3806" s="340"/>
      <c r="AE3806" s="340"/>
      <c r="AI3806" s="340"/>
      <c r="AN3806" s="340"/>
      <c r="AO3806" s="340"/>
      <c r="AS3806" s="340"/>
      <c r="AX3806" s="340"/>
      <c r="BB3806" s="340"/>
      <c r="BD3806" s="339"/>
    </row>
    <row r="3807" spans="7:56" s="338" customFormat="1">
      <c r="G3807" s="340"/>
      <c r="L3807" s="340"/>
      <c r="P3807" s="340"/>
      <c r="U3807" s="340"/>
      <c r="V3807" s="340"/>
      <c r="Z3807" s="340"/>
      <c r="AE3807" s="340"/>
      <c r="AI3807" s="340"/>
      <c r="AN3807" s="340"/>
      <c r="AO3807" s="340"/>
      <c r="AS3807" s="340"/>
      <c r="AX3807" s="340"/>
      <c r="BB3807" s="340"/>
      <c r="BD3807" s="339"/>
    </row>
    <row r="3808" spans="7:56" s="338" customFormat="1">
      <c r="G3808" s="340"/>
      <c r="L3808" s="340"/>
      <c r="P3808" s="340"/>
      <c r="U3808" s="340"/>
      <c r="V3808" s="340"/>
      <c r="Z3808" s="340"/>
      <c r="AE3808" s="340"/>
      <c r="AI3808" s="340"/>
      <c r="AN3808" s="340"/>
      <c r="AO3808" s="340"/>
      <c r="AS3808" s="340"/>
      <c r="AX3808" s="340"/>
      <c r="BB3808" s="340"/>
      <c r="BD3808" s="339"/>
    </row>
    <row r="3809" spans="7:56" s="338" customFormat="1">
      <c r="G3809" s="340"/>
      <c r="L3809" s="340"/>
      <c r="P3809" s="340"/>
      <c r="U3809" s="340"/>
      <c r="V3809" s="340"/>
      <c r="Z3809" s="340"/>
      <c r="AE3809" s="340"/>
      <c r="AI3809" s="340"/>
      <c r="AN3809" s="340"/>
      <c r="AO3809" s="340"/>
      <c r="AS3809" s="340"/>
      <c r="AX3809" s="340"/>
      <c r="BB3809" s="340"/>
      <c r="BD3809" s="339"/>
    </row>
    <row r="3810" spans="7:56" s="338" customFormat="1">
      <c r="G3810" s="340"/>
      <c r="L3810" s="340"/>
      <c r="P3810" s="340"/>
      <c r="U3810" s="340"/>
      <c r="V3810" s="340"/>
      <c r="Z3810" s="340"/>
      <c r="AE3810" s="340"/>
      <c r="AI3810" s="340"/>
      <c r="AN3810" s="340"/>
      <c r="AO3810" s="340"/>
      <c r="AS3810" s="340"/>
      <c r="AX3810" s="340"/>
      <c r="BB3810" s="340"/>
      <c r="BD3810" s="339"/>
    </row>
    <row r="3811" spans="7:56" s="338" customFormat="1">
      <c r="G3811" s="340"/>
      <c r="L3811" s="340"/>
      <c r="P3811" s="340"/>
      <c r="U3811" s="340"/>
      <c r="V3811" s="340"/>
      <c r="Z3811" s="340"/>
      <c r="AE3811" s="340"/>
      <c r="AI3811" s="340"/>
      <c r="AN3811" s="340"/>
      <c r="AO3811" s="340"/>
      <c r="AS3811" s="340"/>
      <c r="AX3811" s="340"/>
      <c r="BB3811" s="340"/>
      <c r="BD3811" s="339"/>
    </row>
    <row r="3812" spans="7:56" s="338" customFormat="1">
      <c r="G3812" s="340"/>
      <c r="L3812" s="340"/>
      <c r="P3812" s="340"/>
      <c r="U3812" s="340"/>
      <c r="V3812" s="340"/>
      <c r="Z3812" s="340"/>
      <c r="AE3812" s="340"/>
      <c r="AI3812" s="340"/>
      <c r="AN3812" s="340"/>
      <c r="AO3812" s="340"/>
      <c r="AS3812" s="340"/>
      <c r="AX3812" s="340"/>
      <c r="BB3812" s="340"/>
      <c r="BD3812" s="339"/>
    </row>
    <row r="3813" spans="7:56" s="338" customFormat="1">
      <c r="G3813" s="340"/>
      <c r="L3813" s="340"/>
      <c r="P3813" s="340"/>
      <c r="U3813" s="340"/>
      <c r="V3813" s="340"/>
      <c r="Z3813" s="340"/>
      <c r="AE3813" s="340"/>
      <c r="AI3813" s="340"/>
      <c r="AN3813" s="340"/>
      <c r="AO3813" s="340"/>
      <c r="AS3813" s="340"/>
      <c r="AX3813" s="340"/>
      <c r="BB3813" s="340"/>
      <c r="BD3813" s="339"/>
    </row>
    <row r="3814" spans="7:56" s="338" customFormat="1">
      <c r="G3814" s="340"/>
      <c r="L3814" s="340"/>
      <c r="P3814" s="340"/>
      <c r="U3814" s="340"/>
      <c r="V3814" s="340"/>
      <c r="Z3814" s="340"/>
      <c r="AE3814" s="340"/>
      <c r="AI3814" s="340"/>
      <c r="AN3814" s="340"/>
      <c r="AO3814" s="340"/>
      <c r="AS3814" s="340"/>
      <c r="AX3814" s="340"/>
      <c r="BB3814" s="340"/>
      <c r="BD3814" s="339"/>
    </row>
    <row r="3815" spans="7:56" s="338" customFormat="1">
      <c r="G3815" s="340"/>
      <c r="L3815" s="340"/>
      <c r="P3815" s="340"/>
      <c r="U3815" s="340"/>
      <c r="V3815" s="340"/>
      <c r="Z3815" s="340"/>
      <c r="AE3815" s="340"/>
      <c r="AI3815" s="340"/>
      <c r="AN3815" s="340"/>
      <c r="AO3815" s="340"/>
      <c r="AS3815" s="340"/>
      <c r="AX3815" s="340"/>
      <c r="BB3815" s="340"/>
      <c r="BD3815" s="339"/>
    </row>
    <row r="3816" spans="7:56" s="338" customFormat="1">
      <c r="G3816" s="340"/>
      <c r="L3816" s="340"/>
      <c r="P3816" s="340"/>
      <c r="U3816" s="340"/>
      <c r="V3816" s="340"/>
      <c r="Z3816" s="340"/>
      <c r="AE3816" s="340"/>
      <c r="AI3816" s="340"/>
      <c r="AN3816" s="340"/>
      <c r="AO3816" s="340"/>
      <c r="AS3816" s="340"/>
      <c r="AX3816" s="340"/>
      <c r="BB3816" s="340"/>
      <c r="BD3816" s="339"/>
    </row>
    <row r="3817" spans="7:56" s="338" customFormat="1">
      <c r="G3817" s="340"/>
      <c r="L3817" s="340"/>
      <c r="P3817" s="340"/>
      <c r="U3817" s="340"/>
      <c r="V3817" s="340"/>
      <c r="Z3817" s="340"/>
      <c r="AE3817" s="340"/>
      <c r="AI3817" s="340"/>
      <c r="AN3817" s="340"/>
      <c r="AO3817" s="340"/>
      <c r="AS3817" s="340"/>
      <c r="AX3817" s="340"/>
      <c r="BB3817" s="340"/>
      <c r="BD3817" s="339"/>
    </row>
    <row r="3818" spans="7:56" s="338" customFormat="1">
      <c r="G3818" s="340"/>
      <c r="L3818" s="340"/>
      <c r="P3818" s="340"/>
      <c r="U3818" s="340"/>
      <c r="V3818" s="340"/>
      <c r="Z3818" s="340"/>
      <c r="AE3818" s="340"/>
      <c r="AI3818" s="340"/>
      <c r="AN3818" s="340"/>
      <c r="AO3818" s="340"/>
      <c r="AS3818" s="340"/>
      <c r="AX3818" s="340"/>
      <c r="BB3818" s="340"/>
      <c r="BD3818" s="339"/>
    </row>
    <row r="3819" spans="7:56" s="338" customFormat="1">
      <c r="G3819" s="340"/>
      <c r="L3819" s="340"/>
      <c r="P3819" s="340"/>
      <c r="U3819" s="340"/>
      <c r="V3819" s="340"/>
      <c r="Z3819" s="340"/>
      <c r="AE3819" s="340"/>
      <c r="AI3819" s="340"/>
      <c r="AN3819" s="340"/>
      <c r="AO3819" s="340"/>
      <c r="AS3819" s="340"/>
      <c r="AX3819" s="340"/>
      <c r="BB3819" s="340"/>
      <c r="BD3819" s="339"/>
    </row>
    <row r="3820" spans="7:56" s="338" customFormat="1">
      <c r="G3820" s="340"/>
      <c r="L3820" s="340"/>
      <c r="P3820" s="340"/>
      <c r="U3820" s="340"/>
      <c r="V3820" s="340"/>
      <c r="Z3820" s="340"/>
      <c r="AE3820" s="340"/>
      <c r="AI3820" s="340"/>
      <c r="AN3820" s="340"/>
      <c r="AO3820" s="340"/>
      <c r="AS3820" s="340"/>
      <c r="AX3820" s="340"/>
      <c r="BB3820" s="340"/>
      <c r="BD3820" s="339"/>
    </row>
    <row r="3821" spans="7:56" s="338" customFormat="1">
      <c r="G3821" s="340"/>
      <c r="L3821" s="340"/>
      <c r="P3821" s="340"/>
      <c r="U3821" s="340"/>
      <c r="V3821" s="340"/>
      <c r="Z3821" s="340"/>
      <c r="AE3821" s="340"/>
      <c r="AI3821" s="340"/>
      <c r="AN3821" s="340"/>
      <c r="AO3821" s="340"/>
      <c r="AS3821" s="340"/>
      <c r="AX3821" s="340"/>
      <c r="BB3821" s="340"/>
      <c r="BD3821" s="339"/>
    </row>
    <row r="3822" spans="7:56" s="338" customFormat="1">
      <c r="G3822" s="340"/>
      <c r="L3822" s="340"/>
      <c r="P3822" s="340"/>
      <c r="U3822" s="340"/>
      <c r="V3822" s="340"/>
      <c r="Z3822" s="340"/>
      <c r="AE3822" s="340"/>
      <c r="AI3822" s="340"/>
      <c r="AN3822" s="340"/>
      <c r="AO3822" s="340"/>
      <c r="AS3822" s="340"/>
      <c r="AX3822" s="340"/>
      <c r="BB3822" s="340"/>
      <c r="BD3822" s="339"/>
    </row>
    <row r="3823" spans="7:56" s="338" customFormat="1">
      <c r="G3823" s="340"/>
      <c r="L3823" s="340"/>
      <c r="P3823" s="340"/>
      <c r="U3823" s="340"/>
      <c r="V3823" s="340"/>
      <c r="Z3823" s="340"/>
      <c r="AE3823" s="340"/>
      <c r="AI3823" s="340"/>
      <c r="AN3823" s="340"/>
      <c r="AO3823" s="340"/>
      <c r="AS3823" s="340"/>
      <c r="AX3823" s="340"/>
      <c r="BB3823" s="340"/>
      <c r="BD3823" s="339"/>
    </row>
    <row r="3824" spans="7:56" s="338" customFormat="1">
      <c r="G3824" s="340"/>
      <c r="L3824" s="340"/>
      <c r="P3824" s="340"/>
      <c r="U3824" s="340"/>
      <c r="V3824" s="340"/>
      <c r="Z3824" s="340"/>
      <c r="AE3824" s="340"/>
      <c r="AI3824" s="340"/>
      <c r="AN3824" s="340"/>
      <c r="AO3824" s="340"/>
      <c r="AS3824" s="340"/>
      <c r="AX3824" s="340"/>
      <c r="BB3824" s="340"/>
      <c r="BD3824" s="339"/>
    </row>
    <row r="3825" spans="7:56" s="338" customFormat="1">
      <c r="G3825" s="340"/>
      <c r="L3825" s="340"/>
      <c r="P3825" s="340"/>
      <c r="U3825" s="340"/>
      <c r="V3825" s="340"/>
      <c r="Z3825" s="340"/>
      <c r="AE3825" s="340"/>
      <c r="AI3825" s="340"/>
      <c r="AN3825" s="340"/>
      <c r="AO3825" s="340"/>
      <c r="AS3825" s="340"/>
      <c r="AX3825" s="340"/>
      <c r="BB3825" s="340"/>
      <c r="BD3825" s="339"/>
    </row>
    <row r="3826" spans="7:56" s="338" customFormat="1">
      <c r="G3826" s="340"/>
      <c r="L3826" s="340"/>
      <c r="P3826" s="340"/>
      <c r="U3826" s="340"/>
      <c r="V3826" s="340"/>
      <c r="Z3826" s="340"/>
      <c r="AE3826" s="340"/>
      <c r="AI3826" s="340"/>
      <c r="AN3826" s="340"/>
      <c r="AO3826" s="340"/>
      <c r="AS3826" s="340"/>
      <c r="AX3826" s="340"/>
      <c r="BB3826" s="340"/>
      <c r="BD3826" s="339"/>
    </row>
    <row r="3827" spans="7:56" s="338" customFormat="1">
      <c r="G3827" s="340"/>
      <c r="L3827" s="340"/>
      <c r="P3827" s="340"/>
      <c r="U3827" s="340"/>
      <c r="V3827" s="340"/>
      <c r="Z3827" s="340"/>
      <c r="AE3827" s="340"/>
      <c r="AI3827" s="340"/>
      <c r="AN3827" s="340"/>
      <c r="AO3827" s="340"/>
      <c r="AS3827" s="340"/>
      <c r="AX3827" s="340"/>
      <c r="BB3827" s="340"/>
      <c r="BD3827" s="339"/>
    </row>
    <row r="3828" spans="7:56" s="338" customFormat="1">
      <c r="G3828" s="340"/>
      <c r="L3828" s="340"/>
      <c r="P3828" s="340"/>
      <c r="U3828" s="340"/>
      <c r="V3828" s="340"/>
      <c r="Z3828" s="340"/>
      <c r="AE3828" s="340"/>
      <c r="AI3828" s="340"/>
      <c r="AN3828" s="340"/>
      <c r="AO3828" s="340"/>
      <c r="AS3828" s="340"/>
      <c r="AX3828" s="340"/>
      <c r="BB3828" s="340"/>
      <c r="BD3828" s="339"/>
    </row>
    <row r="3829" spans="7:56" s="338" customFormat="1">
      <c r="G3829" s="340"/>
      <c r="L3829" s="340"/>
      <c r="P3829" s="340"/>
      <c r="U3829" s="340"/>
      <c r="V3829" s="340"/>
      <c r="Z3829" s="340"/>
      <c r="AE3829" s="340"/>
      <c r="AI3829" s="340"/>
      <c r="AN3829" s="340"/>
      <c r="AO3829" s="340"/>
      <c r="AS3829" s="340"/>
      <c r="AX3829" s="340"/>
      <c r="BB3829" s="340"/>
      <c r="BD3829" s="339"/>
    </row>
    <row r="3830" spans="7:56" s="338" customFormat="1">
      <c r="G3830" s="340"/>
      <c r="L3830" s="340"/>
      <c r="P3830" s="340"/>
      <c r="U3830" s="340"/>
      <c r="V3830" s="340"/>
      <c r="Z3830" s="340"/>
      <c r="AE3830" s="340"/>
      <c r="AI3830" s="340"/>
      <c r="AN3830" s="340"/>
      <c r="AO3830" s="340"/>
      <c r="AS3830" s="340"/>
      <c r="AX3830" s="340"/>
      <c r="BB3830" s="340"/>
      <c r="BD3830" s="339"/>
    </row>
    <row r="3831" spans="7:56" s="338" customFormat="1">
      <c r="G3831" s="340"/>
      <c r="L3831" s="340"/>
      <c r="P3831" s="340"/>
      <c r="U3831" s="340"/>
      <c r="V3831" s="340"/>
      <c r="Z3831" s="340"/>
      <c r="AE3831" s="340"/>
      <c r="AI3831" s="340"/>
      <c r="AN3831" s="340"/>
      <c r="AO3831" s="340"/>
      <c r="AS3831" s="340"/>
      <c r="AX3831" s="340"/>
      <c r="BB3831" s="340"/>
      <c r="BD3831" s="339"/>
    </row>
    <row r="3832" spans="7:56" s="338" customFormat="1">
      <c r="G3832" s="340"/>
      <c r="L3832" s="340"/>
      <c r="P3832" s="340"/>
      <c r="U3832" s="340"/>
      <c r="V3832" s="340"/>
      <c r="Z3832" s="340"/>
      <c r="AE3832" s="340"/>
      <c r="AI3832" s="340"/>
      <c r="AN3832" s="340"/>
      <c r="AO3832" s="340"/>
      <c r="AS3832" s="340"/>
      <c r="AX3832" s="340"/>
      <c r="BB3832" s="340"/>
      <c r="BD3832" s="339"/>
    </row>
    <row r="3833" spans="7:56" s="338" customFormat="1">
      <c r="G3833" s="340"/>
      <c r="L3833" s="340"/>
      <c r="P3833" s="340"/>
      <c r="U3833" s="340"/>
      <c r="V3833" s="340"/>
      <c r="Z3833" s="340"/>
      <c r="AE3833" s="340"/>
      <c r="AI3833" s="340"/>
      <c r="AN3833" s="340"/>
      <c r="AO3833" s="340"/>
      <c r="AS3833" s="340"/>
      <c r="AX3833" s="340"/>
      <c r="BB3833" s="340"/>
      <c r="BD3833" s="339"/>
    </row>
    <row r="3834" spans="7:56" s="338" customFormat="1">
      <c r="G3834" s="340"/>
      <c r="L3834" s="340"/>
      <c r="P3834" s="340"/>
      <c r="U3834" s="340"/>
      <c r="V3834" s="340"/>
      <c r="Z3834" s="340"/>
      <c r="AE3834" s="340"/>
      <c r="AI3834" s="340"/>
      <c r="AN3834" s="340"/>
      <c r="AO3834" s="340"/>
      <c r="AS3834" s="340"/>
      <c r="AX3834" s="340"/>
      <c r="BB3834" s="340"/>
      <c r="BD3834" s="339"/>
    </row>
    <row r="3835" spans="7:56" s="338" customFormat="1">
      <c r="G3835" s="340"/>
      <c r="L3835" s="340"/>
      <c r="P3835" s="340"/>
      <c r="U3835" s="340"/>
      <c r="V3835" s="340"/>
      <c r="Z3835" s="340"/>
      <c r="AE3835" s="340"/>
      <c r="AI3835" s="340"/>
      <c r="AN3835" s="340"/>
      <c r="AO3835" s="340"/>
      <c r="AS3835" s="340"/>
      <c r="AX3835" s="340"/>
      <c r="BB3835" s="340"/>
      <c r="BD3835" s="339"/>
    </row>
    <row r="3836" spans="7:56" s="338" customFormat="1">
      <c r="G3836" s="340"/>
      <c r="L3836" s="340"/>
      <c r="P3836" s="340"/>
      <c r="U3836" s="340"/>
      <c r="V3836" s="340"/>
      <c r="Z3836" s="340"/>
      <c r="AE3836" s="340"/>
      <c r="AI3836" s="340"/>
      <c r="AN3836" s="340"/>
      <c r="AO3836" s="340"/>
      <c r="AS3836" s="340"/>
      <c r="AX3836" s="340"/>
      <c r="BB3836" s="340"/>
      <c r="BD3836" s="339"/>
    </row>
    <row r="3837" spans="7:56" s="338" customFormat="1">
      <c r="G3837" s="340"/>
      <c r="L3837" s="340"/>
      <c r="P3837" s="340"/>
      <c r="U3837" s="340"/>
      <c r="V3837" s="340"/>
      <c r="Z3837" s="340"/>
      <c r="AE3837" s="340"/>
      <c r="AI3837" s="340"/>
      <c r="AN3837" s="340"/>
      <c r="AO3837" s="340"/>
      <c r="AS3837" s="340"/>
      <c r="AX3837" s="340"/>
      <c r="BB3837" s="340"/>
      <c r="BD3837" s="339"/>
    </row>
    <row r="3838" spans="7:56" s="338" customFormat="1">
      <c r="G3838" s="340"/>
      <c r="L3838" s="340"/>
      <c r="P3838" s="340"/>
      <c r="U3838" s="340"/>
      <c r="V3838" s="340"/>
      <c r="Z3838" s="340"/>
      <c r="AE3838" s="340"/>
      <c r="AI3838" s="340"/>
      <c r="AN3838" s="340"/>
      <c r="AO3838" s="340"/>
      <c r="AS3838" s="340"/>
      <c r="AX3838" s="340"/>
      <c r="BB3838" s="340"/>
      <c r="BD3838" s="339"/>
    </row>
    <row r="3839" spans="7:56" s="338" customFormat="1">
      <c r="G3839" s="340"/>
      <c r="L3839" s="340"/>
      <c r="P3839" s="340"/>
      <c r="U3839" s="340"/>
      <c r="V3839" s="340"/>
      <c r="Z3839" s="340"/>
      <c r="AE3839" s="340"/>
      <c r="AI3839" s="340"/>
      <c r="AN3839" s="340"/>
      <c r="AO3839" s="340"/>
      <c r="AS3839" s="340"/>
      <c r="AX3839" s="340"/>
      <c r="BB3839" s="340"/>
      <c r="BD3839" s="339"/>
    </row>
    <row r="3840" spans="7:56" s="338" customFormat="1">
      <c r="G3840" s="340"/>
      <c r="L3840" s="340"/>
      <c r="P3840" s="340"/>
      <c r="U3840" s="340"/>
      <c r="V3840" s="340"/>
      <c r="Z3840" s="340"/>
      <c r="AE3840" s="340"/>
      <c r="AI3840" s="340"/>
      <c r="AN3840" s="340"/>
      <c r="AO3840" s="340"/>
      <c r="AS3840" s="340"/>
      <c r="AX3840" s="340"/>
      <c r="BB3840" s="340"/>
      <c r="BD3840" s="339"/>
    </row>
    <row r="3841" spans="7:56" s="338" customFormat="1">
      <c r="G3841" s="340"/>
      <c r="L3841" s="340"/>
      <c r="P3841" s="340"/>
      <c r="U3841" s="340"/>
      <c r="V3841" s="340"/>
      <c r="Z3841" s="340"/>
      <c r="AE3841" s="340"/>
      <c r="AI3841" s="340"/>
      <c r="AN3841" s="340"/>
      <c r="AO3841" s="340"/>
      <c r="AS3841" s="340"/>
      <c r="AX3841" s="340"/>
      <c r="BB3841" s="340"/>
      <c r="BD3841" s="339"/>
    </row>
    <row r="3842" spans="7:56" s="338" customFormat="1">
      <c r="G3842" s="340"/>
      <c r="L3842" s="340"/>
      <c r="P3842" s="340"/>
      <c r="U3842" s="340"/>
      <c r="V3842" s="340"/>
      <c r="Z3842" s="340"/>
      <c r="AE3842" s="340"/>
      <c r="AI3842" s="340"/>
      <c r="AN3842" s="340"/>
      <c r="AO3842" s="340"/>
      <c r="AS3842" s="340"/>
      <c r="AX3842" s="340"/>
      <c r="BB3842" s="340"/>
      <c r="BD3842" s="339"/>
    </row>
    <row r="3843" spans="7:56" s="338" customFormat="1">
      <c r="G3843" s="340"/>
      <c r="L3843" s="340"/>
      <c r="P3843" s="340"/>
      <c r="U3843" s="340"/>
      <c r="V3843" s="340"/>
      <c r="Z3843" s="340"/>
      <c r="AE3843" s="340"/>
      <c r="AI3843" s="340"/>
      <c r="AN3843" s="340"/>
      <c r="AO3843" s="340"/>
      <c r="AS3843" s="340"/>
      <c r="AX3843" s="340"/>
      <c r="BB3843" s="340"/>
      <c r="BD3843" s="339"/>
    </row>
    <row r="3844" spans="7:56" s="338" customFormat="1">
      <c r="G3844" s="340"/>
      <c r="L3844" s="340"/>
      <c r="P3844" s="340"/>
      <c r="U3844" s="340"/>
      <c r="V3844" s="340"/>
      <c r="Z3844" s="340"/>
      <c r="AE3844" s="340"/>
      <c r="AI3844" s="340"/>
      <c r="AN3844" s="340"/>
      <c r="AO3844" s="340"/>
      <c r="AS3844" s="340"/>
      <c r="AX3844" s="340"/>
      <c r="BB3844" s="340"/>
      <c r="BD3844" s="339"/>
    </row>
    <row r="3845" spans="7:56" s="338" customFormat="1">
      <c r="G3845" s="340"/>
      <c r="L3845" s="340"/>
      <c r="P3845" s="340"/>
      <c r="U3845" s="340"/>
      <c r="V3845" s="340"/>
      <c r="Z3845" s="340"/>
      <c r="AE3845" s="340"/>
      <c r="AI3845" s="340"/>
      <c r="AN3845" s="340"/>
      <c r="AO3845" s="340"/>
      <c r="AS3845" s="340"/>
      <c r="AX3845" s="340"/>
      <c r="BB3845" s="340"/>
      <c r="BD3845" s="339"/>
    </row>
    <row r="3846" spans="7:56" s="338" customFormat="1">
      <c r="G3846" s="340"/>
      <c r="L3846" s="340"/>
      <c r="P3846" s="340"/>
      <c r="U3846" s="340"/>
      <c r="V3846" s="340"/>
      <c r="Z3846" s="340"/>
      <c r="AE3846" s="340"/>
      <c r="AI3846" s="340"/>
      <c r="AN3846" s="340"/>
      <c r="AO3846" s="340"/>
      <c r="AS3846" s="340"/>
      <c r="AX3846" s="340"/>
      <c r="BB3846" s="340"/>
      <c r="BD3846" s="339"/>
    </row>
    <row r="3847" spans="7:56" s="338" customFormat="1">
      <c r="G3847" s="340"/>
      <c r="L3847" s="340"/>
      <c r="P3847" s="340"/>
      <c r="U3847" s="340"/>
      <c r="V3847" s="340"/>
      <c r="Z3847" s="340"/>
      <c r="AE3847" s="340"/>
      <c r="AI3847" s="340"/>
      <c r="AN3847" s="340"/>
      <c r="AO3847" s="340"/>
      <c r="AS3847" s="340"/>
      <c r="AX3847" s="340"/>
      <c r="BB3847" s="340"/>
      <c r="BD3847" s="339"/>
    </row>
    <row r="3848" spans="7:56" s="338" customFormat="1">
      <c r="G3848" s="340"/>
      <c r="L3848" s="340"/>
      <c r="P3848" s="340"/>
      <c r="U3848" s="340"/>
      <c r="V3848" s="340"/>
      <c r="Z3848" s="340"/>
      <c r="AE3848" s="340"/>
      <c r="AI3848" s="340"/>
      <c r="AN3848" s="340"/>
      <c r="AO3848" s="340"/>
      <c r="AS3848" s="340"/>
      <c r="AX3848" s="340"/>
      <c r="BB3848" s="340"/>
      <c r="BD3848" s="339"/>
    </row>
    <row r="3849" spans="7:56" s="338" customFormat="1">
      <c r="G3849" s="340"/>
      <c r="L3849" s="340"/>
      <c r="P3849" s="340"/>
      <c r="U3849" s="340"/>
      <c r="V3849" s="340"/>
      <c r="Z3849" s="340"/>
      <c r="AE3849" s="340"/>
      <c r="AI3849" s="340"/>
      <c r="AN3849" s="340"/>
      <c r="AO3849" s="340"/>
      <c r="AS3849" s="340"/>
      <c r="AX3849" s="340"/>
      <c r="BB3849" s="340"/>
      <c r="BD3849" s="339"/>
    </row>
    <row r="3850" spans="7:56" s="338" customFormat="1">
      <c r="G3850" s="340"/>
      <c r="L3850" s="340"/>
      <c r="P3850" s="340"/>
      <c r="U3850" s="340"/>
      <c r="V3850" s="340"/>
      <c r="Z3850" s="340"/>
      <c r="AE3850" s="340"/>
      <c r="AI3850" s="340"/>
      <c r="AN3850" s="340"/>
      <c r="AO3850" s="340"/>
      <c r="AS3850" s="340"/>
      <c r="AX3850" s="340"/>
      <c r="BB3850" s="340"/>
      <c r="BD3850" s="339"/>
    </row>
    <row r="3851" spans="7:56" s="338" customFormat="1">
      <c r="G3851" s="340"/>
      <c r="L3851" s="340"/>
      <c r="P3851" s="340"/>
      <c r="U3851" s="340"/>
      <c r="V3851" s="340"/>
      <c r="Z3851" s="340"/>
      <c r="AE3851" s="340"/>
      <c r="AI3851" s="340"/>
      <c r="AN3851" s="340"/>
      <c r="AO3851" s="340"/>
      <c r="AS3851" s="340"/>
      <c r="AX3851" s="340"/>
      <c r="BB3851" s="340"/>
      <c r="BD3851" s="339"/>
    </row>
    <row r="3852" spans="7:56" s="338" customFormat="1">
      <c r="G3852" s="340"/>
      <c r="L3852" s="340"/>
      <c r="P3852" s="340"/>
      <c r="U3852" s="340"/>
      <c r="V3852" s="340"/>
      <c r="Z3852" s="340"/>
      <c r="AE3852" s="340"/>
      <c r="AI3852" s="340"/>
      <c r="AN3852" s="340"/>
      <c r="AO3852" s="340"/>
      <c r="AS3852" s="340"/>
      <c r="AX3852" s="340"/>
      <c r="BB3852" s="340"/>
      <c r="BD3852" s="339"/>
    </row>
    <row r="3853" spans="7:56" s="338" customFormat="1">
      <c r="G3853" s="340"/>
      <c r="L3853" s="340"/>
      <c r="P3853" s="340"/>
      <c r="U3853" s="340"/>
      <c r="V3853" s="340"/>
      <c r="Z3853" s="340"/>
      <c r="AE3853" s="340"/>
      <c r="AI3853" s="340"/>
      <c r="AN3853" s="340"/>
      <c r="AO3853" s="340"/>
      <c r="AS3853" s="340"/>
      <c r="AX3853" s="340"/>
      <c r="BB3853" s="340"/>
      <c r="BD3853" s="339"/>
    </row>
    <row r="3854" spans="7:56" s="338" customFormat="1">
      <c r="G3854" s="340"/>
      <c r="L3854" s="340"/>
      <c r="P3854" s="340"/>
      <c r="U3854" s="340"/>
      <c r="V3854" s="340"/>
      <c r="Z3854" s="340"/>
      <c r="AE3854" s="340"/>
      <c r="AI3854" s="340"/>
      <c r="AN3854" s="340"/>
      <c r="AO3854" s="340"/>
      <c r="AS3854" s="340"/>
      <c r="AX3854" s="340"/>
      <c r="BB3854" s="340"/>
      <c r="BD3854" s="339"/>
    </row>
    <row r="3855" spans="7:56" s="338" customFormat="1">
      <c r="G3855" s="340"/>
      <c r="L3855" s="340"/>
      <c r="P3855" s="340"/>
      <c r="U3855" s="340"/>
      <c r="V3855" s="340"/>
      <c r="Z3855" s="340"/>
      <c r="AE3855" s="340"/>
      <c r="AI3855" s="340"/>
      <c r="AN3855" s="340"/>
      <c r="AO3855" s="340"/>
      <c r="AS3855" s="340"/>
      <c r="AX3855" s="340"/>
      <c r="BB3855" s="340"/>
      <c r="BD3855" s="339"/>
    </row>
    <row r="3856" spans="7:56" s="338" customFormat="1">
      <c r="G3856" s="340"/>
      <c r="L3856" s="340"/>
      <c r="P3856" s="340"/>
      <c r="U3856" s="340"/>
      <c r="V3856" s="340"/>
      <c r="Z3856" s="340"/>
      <c r="AE3856" s="340"/>
      <c r="AI3856" s="340"/>
      <c r="AN3856" s="340"/>
      <c r="AO3856" s="340"/>
      <c r="AS3856" s="340"/>
      <c r="AX3856" s="340"/>
      <c r="BB3856" s="340"/>
      <c r="BD3856" s="339"/>
    </row>
    <row r="3857" spans="7:56" s="338" customFormat="1">
      <c r="G3857" s="340"/>
      <c r="L3857" s="340"/>
      <c r="P3857" s="340"/>
      <c r="U3857" s="340"/>
      <c r="V3857" s="340"/>
      <c r="Z3857" s="340"/>
      <c r="AE3857" s="340"/>
      <c r="AI3857" s="340"/>
      <c r="AN3857" s="340"/>
      <c r="AO3857" s="340"/>
      <c r="AS3857" s="340"/>
      <c r="AX3857" s="340"/>
      <c r="BB3857" s="340"/>
      <c r="BD3857" s="339"/>
    </row>
    <row r="3858" spans="7:56" s="338" customFormat="1">
      <c r="G3858" s="340"/>
      <c r="L3858" s="340"/>
      <c r="P3858" s="340"/>
      <c r="U3858" s="340"/>
      <c r="V3858" s="340"/>
      <c r="Z3858" s="340"/>
      <c r="AE3858" s="340"/>
      <c r="AI3858" s="340"/>
      <c r="AN3858" s="340"/>
      <c r="AO3858" s="340"/>
      <c r="AS3858" s="340"/>
      <c r="AX3858" s="340"/>
      <c r="BB3858" s="340"/>
      <c r="BD3858" s="339"/>
    </row>
    <row r="3859" spans="7:56" s="338" customFormat="1">
      <c r="G3859" s="340"/>
      <c r="L3859" s="340"/>
      <c r="P3859" s="340"/>
      <c r="U3859" s="340"/>
      <c r="V3859" s="340"/>
      <c r="Z3859" s="340"/>
      <c r="AE3859" s="340"/>
      <c r="AI3859" s="340"/>
      <c r="AN3859" s="340"/>
      <c r="AO3859" s="340"/>
      <c r="AS3859" s="340"/>
      <c r="AX3859" s="340"/>
      <c r="BB3859" s="340"/>
      <c r="BD3859" s="339"/>
    </row>
    <row r="3860" spans="7:56" s="338" customFormat="1">
      <c r="G3860" s="340"/>
      <c r="L3860" s="340"/>
      <c r="P3860" s="340"/>
      <c r="U3860" s="340"/>
      <c r="V3860" s="340"/>
      <c r="Z3860" s="340"/>
      <c r="AE3860" s="340"/>
      <c r="AI3860" s="340"/>
      <c r="AN3860" s="340"/>
      <c r="AO3860" s="340"/>
      <c r="AS3860" s="340"/>
      <c r="AX3860" s="340"/>
      <c r="BB3860" s="340"/>
      <c r="BD3860" s="339"/>
    </row>
    <row r="3861" spans="7:56" s="338" customFormat="1">
      <c r="G3861" s="340"/>
      <c r="L3861" s="340"/>
      <c r="P3861" s="340"/>
      <c r="U3861" s="340"/>
      <c r="V3861" s="340"/>
      <c r="Z3861" s="340"/>
      <c r="AE3861" s="340"/>
      <c r="AI3861" s="340"/>
      <c r="AN3861" s="340"/>
      <c r="AO3861" s="340"/>
      <c r="AS3861" s="340"/>
      <c r="AX3861" s="340"/>
      <c r="BB3861" s="340"/>
      <c r="BD3861" s="339"/>
    </row>
    <row r="3862" spans="7:56" s="338" customFormat="1">
      <c r="G3862" s="340"/>
      <c r="L3862" s="340"/>
      <c r="P3862" s="340"/>
      <c r="U3862" s="340"/>
      <c r="V3862" s="340"/>
      <c r="Z3862" s="340"/>
      <c r="AE3862" s="340"/>
      <c r="AI3862" s="340"/>
      <c r="AN3862" s="340"/>
      <c r="AO3862" s="340"/>
      <c r="AS3862" s="340"/>
      <c r="AX3862" s="340"/>
      <c r="BB3862" s="340"/>
      <c r="BD3862" s="339"/>
    </row>
    <row r="3863" spans="7:56" s="338" customFormat="1">
      <c r="G3863" s="340"/>
      <c r="L3863" s="340"/>
      <c r="P3863" s="340"/>
      <c r="U3863" s="340"/>
      <c r="V3863" s="340"/>
      <c r="Z3863" s="340"/>
      <c r="AE3863" s="340"/>
      <c r="AI3863" s="340"/>
      <c r="AN3863" s="340"/>
      <c r="AO3863" s="340"/>
      <c r="AS3863" s="340"/>
      <c r="AX3863" s="340"/>
      <c r="BB3863" s="340"/>
      <c r="BD3863" s="339"/>
    </row>
    <row r="3864" spans="7:56" s="338" customFormat="1">
      <c r="G3864" s="340"/>
      <c r="L3864" s="340"/>
      <c r="P3864" s="340"/>
      <c r="U3864" s="340"/>
      <c r="V3864" s="340"/>
      <c r="Z3864" s="340"/>
      <c r="AE3864" s="340"/>
      <c r="AI3864" s="340"/>
      <c r="AN3864" s="340"/>
      <c r="AO3864" s="340"/>
      <c r="AS3864" s="340"/>
      <c r="AX3864" s="340"/>
      <c r="BB3864" s="340"/>
      <c r="BD3864" s="339"/>
    </row>
    <row r="3865" spans="7:56" s="338" customFormat="1">
      <c r="G3865" s="340"/>
      <c r="L3865" s="340"/>
      <c r="P3865" s="340"/>
      <c r="U3865" s="340"/>
      <c r="V3865" s="340"/>
      <c r="Z3865" s="340"/>
      <c r="AE3865" s="340"/>
      <c r="AI3865" s="340"/>
      <c r="AN3865" s="340"/>
      <c r="AO3865" s="340"/>
      <c r="AS3865" s="340"/>
      <c r="AX3865" s="340"/>
      <c r="BB3865" s="340"/>
      <c r="BD3865" s="339"/>
    </row>
    <row r="3866" spans="7:56" s="338" customFormat="1">
      <c r="G3866" s="340"/>
      <c r="L3866" s="340"/>
      <c r="P3866" s="340"/>
      <c r="U3866" s="340"/>
      <c r="V3866" s="340"/>
      <c r="Z3866" s="340"/>
      <c r="AE3866" s="340"/>
      <c r="AI3866" s="340"/>
      <c r="AN3866" s="340"/>
      <c r="AO3866" s="340"/>
      <c r="AS3866" s="340"/>
      <c r="AX3866" s="340"/>
      <c r="BB3866" s="340"/>
      <c r="BD3866" s="339"/>
    </row>
    <row r="3867" spans="7:56" s="338" customFormat="1">
      <c r="G3867" s="340"/>
      <c r="L3867" s="340"/>
      <c r="P3867" s="340"/>
      <c r="U3867" s="340"/>
      <c r="V3867" s="340"/>
      <c r="Z3867" s="340"/>
      <c r="AE3867" s="340"/>
      <c r="AI3867" s="340"/>
      <c r="AN3867" s="340"/>
      <c r="AO3867" s="340"/>
      <c r="AS3867" s="340"/>
      <c r="AX3867" s="340"/>
      <c r="BB3867" s="340"/>
      <c r="BD3867" s="339"/>
    </row>
    <row r="3868" spans="7:56" s="338" customFormat="1">
      <c r="G3868" s="340"/>
      <c r="L3868" s="340"/>
      <c r="P3868" s="340"/>
      <c r="U3868" s="340"/>
      <c r="V3868" s="340"/>
      <c r="Z3868" s="340"/>
      <c r="AE3868" s="340"/>
      <c r="AI3868" s="340"/>
      <c r="AN3868" s="340"/>
      <c r="AO3868" s="340"/>
      <c r="AS3868" s="340"/>
      <c r="AX3868" s="340"/>
      <c r="BB3868" s="340"/>
      <c r="BD3868" s="339"/>
    </row>
    <row r="3869" spans="7:56" s="338" customFormat="1">
      <c r="G3869" s="340"/>
      <c r="L3869" s="340"/>
      <c r="P3869" s="340"/>
      <c r="U3869" s="340"/>
      <c r="V3869" s="340"/>
      <c r="Z3869" s="340"/>
      <c r="AE3869" s="340"/>
      <c r="AI3869" s="340"/>
      <c r="AN3869" s="340"/>
      <c r="AO3869" s="340"/>
      <c r="AS3869" s="340"/>
      <c r="AX3869" s="340"/>
      <c r="BB3869" s="340"/>
      <c r="BD3869" s="339"/>
    </row>
    <row r="3870" spans="7:56" s="338" customFormat="1">
      <c r="G3870" s="340"/>
      <c r="L3870" s="340"/>
      <c r="P3870" s="340"/>
      <c r="U3870" s="340"/>
      <c r="V3870" s="340"/>
      <c r="Z3870" s="340"/>
      <c r="AE3870" s="340"/>
      <c r="AI3870" s="340"/>
      <c r="AN3870" s="340"/>
      <c r="AO3870" s="340"/>
      <c r="AS3870" s="340"/>
      <c r="AX3870" s="340"/>
      <c r="BB3870" s="340"/>
      <c r="BD3870" s="339"/>
    </row>
    <row r="3871" spans="7:56" s="338" customFormat="1">
      <c r="G3871" s="340"/>
      <c r="L3871" s="340"/>
      <c r="P3871" s="340"/>
      <c r="U3871" s="340"/>
      <c r="V3871" s="340"/>
      <c r="Z3871" s="340"/>
      <c r="AE3871" s="340"/>
      <c r="AI3871" s="340"/>
      <c r="AN3871" s="340"/>
      <c r="AO3871" s="340"/>
      <c r="AS3871" s="340"/>
      <c r="AX3871" s="340"/>
      <c r="BB3871" s="340"/>
      <c r="BD3871" s="339"/>
    </row>
    <row r="3872" spans="7:56" s="338" customFormat="1">
      <c r="G3872" s="340"/>
      <c r="L3872" s="340"/>
      <c r="P3872" s="340"/>
      <c r="U3872" s="340"/>
      <c r="V3872" s="340"/>
      <c r="Z3872" s="340"/>
      <c r="AE3872" s="340"/>
      <c r="AI3872" s="340"/>
      <c r="AN3872" s="340"/>
      <c r="AO3872" s="340"/>
      <c r="AS3872" s="340"/>
      <c r="AX3872" s="340"/>
      <c r="BB3872" s="340"/>
      <c r="BD3872" s="339"/>
    </row>
    <row r="3873" spans="7:56" s="338" customFormat="1">
      <c r="G3873" s="340"/>
      <c r="L3873" s="340"/>
      <c r="P3873" s="340"/>
      <c r="U3873" s="340"/>
      <c r="V3873" s="340"/>
      <c r="Z3873" s="340"/>
      <c r="AE3873" s="340"/>
      <c r="AI3873" s="340"/>
      <c r="AN3873" s="340"/>
      <c r="AO3873" s="340"/>
      <c r="AS3873" s="340"/>
      <c r="AX3873" s="340"/>
      <c r="BB3873" s="340"/>
      <c r="BD3873" s="339"/>
    </row>
    <row r="3874" spans="7:56" s="338" customFormat="1">
      <c r="G3874" s="340"/>
      <c r="L3874" s="340"/>
      <c r="P3874" s="340"/>
      <c r="U3874" s="340"/>
      <c r="V3874" s="340"/>
      <c r="Z3874" s="340"/>
      <c r="AE3874" s="340"/>
      <c r="AI3874" s="340"/>
      <c r="AN3874" s="340"/>
      <c r="AO3874" s="340"/>
      <c r="AS3874" s="340"/>
      <c r="AX3874" s="340"/>
      <c r="BB3874" s="340"/>
      <c r="BD3874" s="339"/>
    </row>
    <row r="3875" spans="7:56" s="338" customFormat="1">
      <c r="G3875" s="340"/>
      <c r="L3875" s="340"/>
      <c r="P3875" s="340"/>
      <c r="U3875" s="340"/>
      <c r="V3875" s="340"/>
      <c r="Z3875" s="340"/>
      <c r="AE3875" s="340"/>
      <c r="AI3875" s="340"/>
      <c r="AN3875" s="340"/>
      <c r="AO3875" s="340"/>
      <c r="AS3875" s="340"/>
      <c r="AX3875" s="340"/>
      <c r="BB3875" s="340"/>
      <c r="BD3875" s="339"/>
    </row>
    <row r="3876" spans="7:56" s="338" customFormat="1">
      <c r="G3876" s="340"/>
      <c r="L3876" s="340"/>
      <c r="P3876" s="340"/>
      <c r="U3876" s="340"/>
      <c r="V3876" s="340"/>
      <c r="Z3876" s="340"/>
      <c r="AE3876" s="340"/>
      <c r="AI3876" s="340"/>
      <c r="AN3876" s="340"/>
      <c r="AO3876" s="340"/>
      <c r="AS3876" s="340"/>
      <c r="AX3876" s="340"/>
      <c r="BB3876" s="340"/>
      <c r="BD3876" s="339"/>
    </row>
    <row r="3877" spans="7:56" s="338" customFormat="1">
      <c r="G3877" s="340"/>
      <c r="L3877" s="340"/>
      <c r="P3877" s="340"/>
      <c r="U3877" s="340"/>
      <c r="V3877" s="340"/>
      <c r="Z3877" s="340"/>
      <c r="AE3877" s="340"/>
      <c r="AI3877" s="340"/>
      <c r="AN3877" s="340"/>
      <c r="AO3877" s="340"/>
      <c r="AS3877" s="340"/>
      <c r="AX3877" s="340"/>
      <c r="BB3877" s="340"/>
      <c r="BD3877" s="339"/>
    </row>
    <row r="3878" spans="7:56" s="338" customFormat="1">
      <c r="G3878" s="340"/>
      <c r="L3878" s="340"/>
      <c r="P3878" s="340"/>
      <c r="U3878" s="340"/>
      <c r="V3878" s="340"/>
      <c r="Z3878" s="340"/>
      <c r="AE3878" s="340"/>
      <c r="AI3878" s="340"/>
      <c r="AN3878" s="340"/>
      <c r="AO3878" s="340"/>
      <c r="AS3878" s="340"/>
      <c r="AX3878" s="340"/>
      <c r="BB3878" s="340"/>
      <c r="BD3878" s="339"/>
    </row>
    <row r="3879" spans="7:56" s="338" customFormat="1">
      <c r="G3879" s="340"/>
      <c r="L3879" s="340"/>
      <c r="P3879" s="340"/>
      <c r="U3879" s="340"/>
      <c r="V3879" s="340"/>
      <c r="Z3879" s="340"/>
      <c r="AE3879" s="340"/>
      <c r="AI3879" s="340"/>
      <c r="AN3879" s="340"/>
      <c r="AO3879" s="340"/>
      <c r="AS3879" s="340"/>
      <c r="AX3879" s="340"/>
      <c r="BB3879" s="340"/>
      <c r="BD3879" s="339"/>
    </row>
    <row r="3880" spans="7:56" s="338" customFormat="1">
      <c r="G3880" s="340"/>
      <c r="L3880" s="340"/>
      <c r="P3880" s="340"/>
      <c r="U3880" s="340"/>
      <c r="V3880" s="340"/>
      <c r="Z3880" s="340"/>
      <c r="AE3880" s="340"/>
      <c r="AI3880" s="340"/>
      <c r="AN3880" s="340"/>
      <c r="AO3880" s="340"/>
      <c r="AS3880" s="340"/>
      <c r="AX3880" s="340"/>
      <c r="BB3880" s="340"/>
      <c r="BD3880" s="339"/>
    </row>
    <row r="3881" spans="7:56" s="338" customFormat="1">
      <c r="G3881" s="340"/>
      <c r="L3881" s="340"/>
      <c r="P3881" s="340"/>
      <c r="U3881" s="340"/>
      <c r="V3881" s="340"/>
      <c r="Z3881" s="340"/>
      <c r="AE3881" s="340"/>
      <c r="AI3881" s="340"/>
      <c r="AN3881" s="340"/>
      <c r="AO3881" s="340"/>
      <c r="AS3881" s="340"/>
      <c r="AX3881" s="340"/>
      <c r="BB3881" s="340"/>
      <c r="BD3881" s="339"/>
    </row>
    <row r="3882" spans="7:56" s="338" customFormat="1">
      <c r="G3882" s="340"/>
      <c r="L3882" s="340"/>
      <c r="P3882" s="340"/>
      <c r="U3882" s="340"/>
      <c r="V3882" s="340"/>
      <c r="Z3882" s="340"/>
      <c r="AE3882" s="340"/>
      <c r="AI3882" s="340"/>
      <c r="AN3882" s="340"/>
      <c r="AO3882" s="340"/>
      <c r="AS3882" s="340"/>
      <c r="AX3882" s="340"/>
      <c r="BB3882" s="340"/>
      <c r="BD3882" s="339"/>
    </row>
    <row r="3883" spans="7:56" s="338" customFormat="1">
      <c r="G3883" s="340"/>
      <c r="L3883" s="340"/>
      <c r="P3883" s="340"/>
      <c r="U3883" s="340"/>
      <c r="V3883" s="340"/>
      <c r="Z3883" s="340"/>
      <c r="AE3883" s="340"/>
      <c r="AI3883" s="340"/>
      <c r="AN3883" s="340"/>
      <c r="AO3883" s="340"/>
      <c r="AS3883" s="340"/>
      <c r="AX3883" s="340"/>
      <c r="BB3883" s="340"/>
      <c r="BD3883" s="339"/>
    </row>
    <row r="3884" spans="7:56" s="338" customFormat="1">
      <c r="G3884" s="340"/>
      <c r="L3884" s="340"/>
      <c r="P3884" s="340"/>
      <c r="U3884" s="340"/>
      <c r="V3884" s="340"/>
      <c r="Z3884" s="340"/>
      <c r="AE3884" s="340"/>
      <c r="AI3884" s="340"/>
      <c r="AN3884" s="340"/>
      <c r="AO3884" s="340"/>
      <c r="AS3884" s="340"/>
      <c r="AX3884" s="340"/>
      <c r="BB3884" s="340"/>
      <c r="BD3884" s="339"/>
    </row>
    <row r="3885" spans="7:56" s="338" customFormat="1">
      <c r="G3885" s="340"/>
      <c r="L3885" s="340"/>
      <c r="P3885" s="340"/>
      <c r="U3885" s="340"/>
      <c r="V3885" s="340"/>
      <c r="Z3885" s="340"/>
      <c r="AE3885" s="340"/>
      <c r="AI3885" s="340"/>
      <c r="AN3885" s="340"/>
      <c r="AO3885" s="340"/>
      <c r="AS3885" s="340"/>
      <c r="AX3885" s="340"/>
      <c r="BB3885" s="340"/>
      <c r="BD3885" s="339"/>
    </row>
    <row r="3886" spans="7:56" s="338" customFormat="1">
      <c r="G3886" s="340"/>
      <c r="L3886" s="340"/>
      <c r="P3886" s="340"/>
      <c r="U3886" s="340"/>
      <c r="V3886" s="340"/>
      <c r="Z3886" s="340"/>
      <c r="AE3886" s="340"/>
      <c r="AI3886" s="340"/>
      <c r="AN3886" s="340"/>
      <c r="AO3886" s="340"/>
      <c r="AS3886" s="340"/>
      <c r="AX3886" s="340"/>
      <c r="BB3886" s="340"/>
      <c r="BD3886" s="339"/>
    </row>
    <row r="3887" spans="7:56" s="338" customFormat="1">
      <c r="G3887" s="340"/>
      <c r="L3887" s="340"/>
      <c r="P3887" s="340"/>
      <c r="U3887" s="340"/>
      <c r="V3887" s="340"/>
      <c r="Z3887" s="340"/>
      <c r="AE3887" s="340"/>
      <c r="AI3887" s="340"/>
      <c r="AN3887" s="340"/>
      <c r="AO3887" s="340"/>
      <c r="AS3887" s="340"/>
      <c r="AX3887" s="340"/>
      <c r="BB3887" s="340"/>
      <c r="BD3887" s="339"/>
    </row>
    <row r="3888" spans="7:56" s="338" customFormat="1">
      <c r="G3888" s="340"/>
      <c r="L3888" s="340"/>
      <c r="P3888" s="340"/>
      <c r="U3888" s="340"/>
      <c r="V3888" s="340"/>
      <c r="Z3888" s="340"/>
      <c r="AE3888" s="340"/>
      <c r="AI3888" s="340"/>
      <c r="AN3888" s="340"/>
      <c r="AO3888" s="340"/>
      <c r="AS3888" s="340"/>
      <c r="AX3888" s="340"/>
      <c r="BB3888" s="340"/>
      <c r="BD3888" s="339"/>
    </row>
    <row r="3889" spans="7:56" s="338" customFormat="1">
      <c r="G3889" s="340"/>
      <c r="L3889" s="340"/>
      <c r="P3889" s="340"/>
      <c r="U3889" s="340"/>
      <c r="V3889" s="340"/>
      <c r="Z3889" s="340"/>
      <c r="AE3889" s="340"/>
      <c r="AI3889" s="340"/>
      <c r="AN3889" s="340"/>
      <c r="AO3889" s="340"/>
      <c r="AS3889" s="340"/>
      <c r="AX3889" s="340"/>
      <c r="BB3889" s="340"/>
      <c r="BD3889" s="339"/>
    </row>
    <row r="3890" spans="7:56" s="338" customFormat="1">
      <c r="G3890" s="340"/>
      <c r="L3890" s="340"/>
      <c r="P3890" s="340"/>
      <c r="U3890" s="340"/>
      <c r="V3890" s="340"/>
      <c r="Z3890" s="340"/>
      <c r="AE3890" s="340"/>
      <c r="AI3890" s="340"/>
      <c r="AN3890" s="340"/>
      <c r="AO3890" s="340"/>
      <c r="AS3890" s="340"/>
      <c r="AX3890" s="340"/>
      <c r="BB3890" s="340"/>
      <c r="BD3890" s="339"/>
    </row>
    <row r="3891" spans="7:56" s="338" customFormat="1">
      <c r="G3891" s="340"/>
      <c r="L3891" s="340"/>
      <c r="P3891" s="340"/>
      <c r="U3891" s="340"/>
      <c r="V3891" s="340"/>
      <c r="Z3891" s="340"/>
      <c r="AE3891" s="340"/>
      <c r="AI3891" s="340"/>
      <c r="AN3891" s="340"/>
      <c r="AO3891" s="340"/>
      <c r="AS3891" s="340"/>
      <c r="AX3891" s="340"/>
      <c r="BB3891" s="340"/>
      <c r="BD3891" s="339"/>
    </row>
    <row r="3892" spans="7:56" s="338" customFormat="1">
      <c r="G3892" s="340"/>
      <c r="L3892" s="340"/>
      <c r="P3892" s="340"/>
      <c r="U3892" s="340"/>
      <c r="V3892" s="340"/>
      <c r="Z3892" s="340"/>
      <c r="AE3892" s="340"/>
      <c r="AI3892" s="340"/>
      <c r="AN3892" s="340"/>
      <c r="AO3892" s="340"/>
      <c r="AS3892" s="340"/>
      <c r="AX3892" s="340"/>
      <c r="BB3892" s="340"/>
      <c r="BD3892" s="339"/>
    </row>
    <row r="3893" spans="7:56" s="338" customFormat="1">
      <c r="G3893" s="340"/>
      <c r="L3893" s="340"/>
      <c r="P3893" s="340"/>
      <c r="U3893" s="340"/>
      <c r="V3893" s="340"/>
      <c r="Z3893" s="340"/>
      <c r="AE3893" s="340"/>
      <c r="AI3893" s="340"/>
      <c r="AN3893" s="340"/>
      <c r="AO3893" s="340"/>
      <c r="AS3893" s="340"/>
      <c r="AX3893" s="340"/>
      <c r="BB3893" s="340"/>
      <c r="BD3893" s="339"/>
    </row>
    <row r="3894" spans="7:56" s="338" customFormat="1">
      <c r="G3894" s="340"/>
      <c r="L3894" s="340"/>
      <c r="P3894" s="340"/>
      <c r="U3894" s="340"/>
      <c r="V3894" s="340"/>
      <c r="Z3894" s="340"/>
      <c r="AE3894" s="340"/>
      <c r="AI3894" s="340"/>
      <c r="AN3894" s="340"/>
      <c r="AO3894" s="340"/>
      <c r="AS3894" s="340"/>
      <c r="AX3894" s="340"/>
      <c r="BB3894" s="340"/>
      <c r="BD3894" s="339"/>
    </row>
    <row r="3895" spans="7:56" s="338" customFormat="1">
      <c r="G3895" s="340"/>
      <c r="L3895" s="340"/>
      <c r="P3895" s="340"/>
      <c r="U3895" s="340"/>
      <c r="V3895" s="340"/>
      <c r="Z3895" s="340"/>
      <c r="AE3895" s="340"/>
      <c r="AI3895" s="340"/>
      <c r="AN3895" s="340"/>
      <c r="AO3895" s="340"/>
      <c r="AS3895" s="340"/>
      <c r="AX3895" s="340"/>
      <c r="BB3895" s="340"/>
      <c r="BD3895" s="339"/>
    </row>
    <row r="3896" spans="7:56" s="338" customFormat="1">
      <c r="G3896" s="340"/>
      <c r="L3896" s="340"/>
      <c r="P3896" s="340"/>
      <c r="U3896" s="340"/>
      <c r="V3896" s="340"/>
      <c r="Z3896" s="340"/>
      <c r="AE3896" s="340"/>
      <c r="AI3896" s="340"/>
      <c r="AN3896" s="340"/>
      <c r="AO3896" s="340"/>
      <c r="AS3896" s="340"/>
      <c r="AX3896" s="340"/>
      <c r="BB3896" s="340"/>
      <c r="BD3896" s="339"/>
    </row>
    <row r="3897" spans="7:56" s="338" customFormat="1">
      <c r="G3897" s="340"/>
      <c r="L3897" s="340"/>
      <c r="P3897" s="340"/>
      <c r="U3897" s="340"/>
      <c r="V3897" s="340"/>
      <c r="Z3897" s="340"/>
      <c r="AE3897" s="340"/>
      <c r="AI3897" s="340"/>
      <c r="AN3897" s="340"/>
      <c r="AO3897" s="340"/>
      <c r="AS3897" s="340"/>
      <c r="AX3897" s="340"/>
      <c r="BB3897" s="340"/>
      <c r="BD3897" s="339"/>
    </row>
    <row r="3898" spans="7:56" s="338" customFormat="1">
      <c r="G3898" s="340"/>
      <c r="L3898" s="340"/>
      <c r="P3898" s="340"/>
      <c r="U3898" s="340"/>
      <c r="V3898" s="340"/>
      <c r="Z3898" s="340"/>
      <c r="AE3898" s="340"/>
      <c r="AI3898" s="340"/>
      <c r="AN3898" s="340"/>
      <c r="AO3898" s="340"/>
      <c r="AS3898" s="340"/>
      <c r="AX3898" s="340"/>
      <c r="BB3898" s="340"/>
      <c r="BD3898" s="339"/>
    </row>
    <row r="3899" spans="7:56" s="338" customFormat="1">
      <c r="G3899" s="340"/>
      <c r="L3899" s="340"/>
      <c r="P3899" s="340"/>
      <c r="U3899" s="340"/>
      <c r="V3899" s="340"/>
      <c r="Z3899" s="340"/>
      <c r="AE3899" s="340"/>
      <c r="AI3899" s="340"/>
      <c r="AN3899" s="340"/>
      <c r="AO3899" s="340"/>
      <c r="AS3899" s="340"/>
      <c r="AX3899" s="340"/>
      <c r="BB3899" s="340"/>
      <c r="BD3899" s="339"/>
    </row>
    <row r="3900" spans="7:56" s="338" customFormat="1">
      <c r="G3900" s="340"/>
      <c r="L3900" s="340"/>
      <c r="P3900" s="340"/>
      <c r="U3900" s="340"/>
      <c r="V3900" s="340"/>
      <c r="Z3900" s="340"/>
      <c r="AE3900" s="340"/>
      <c r="AI3900" s="340"/>
      <c r="AN3900" s="340"/>
      <c r="AO3900" s="340"/>
      <c r="AS3900" s="340"/>
      <c r="AX3900" s="340"/>
      <c r="BB3900" s="340"/>
      <c r="BD3900" s="339"/>
    </row>
    <row r="3901" spans="7:56" s="338" customFormat="1">
      <c r="G3901" s="340"/>
      <c r="L3901" s="340"/>
      <c r="P3901" s="340"/>
      <c r="U3901" s="340"/>
      <c r="V3901" s="340"/>
      <c r="Z3901" s="340"/>
      <c r="AE3901" s="340"/>
      <c r="AI3901" s="340"/>
      <c r="AN3901" s="340"/>
      <c r="AO3901" s="340"/>
      <c r="AS3901" s="340"/>
      <c r="AX3901" s="340"/>
      <c r="BB3901" s="340"/>
      <c r="BD3901" s="339"/>
    </row>
    <row r="3902" spans="7:56" s="338" customFormat="1">
      <c r="G3902" s="340"/>
      <c r="L3902" s="340"/>
      <c r="P3902" s="340"/>
      <c r="U3902" s="340"/>
      <c r="V3902" s="340"/>
      <c r="Z3902" s="340"/>
      <c r="AE3902" s="340"/>
      <c r="AI3902" s="340"/>
      <c r="AN3902" s="340"/>
      <c r="AO3902" s="340"/>
      <c r="AS3902" s="340"/>
      <c r="AX3902" s="340"/>
      <c r="BB3902" s="340"/>
      <c r="BD3902" s="339"/>
    </row>
    <row r="3903" spans="7:56" s="338" customFormat="1">
      <c r="G3903" s="340"/>
      <c r="L3903" s="340"/>
      <c r="P3903" s="340"/>
      <c r="U3903" s="340"/>
      <c r="V3903" s="340"/>
      <c r="Z3903" s="340"/>
      <c r="AE3903" s="340"/>
      <c r="AI3903" s="340"/>
      <c r="AN3903" s="340"/>
      <c r="AO3903" s="340"/>
      <c r="AS3903" s="340"/>
      <c r="AX3903" s="340"/>
      <c r="BB3903" s="340"/>
      <c r="BD3903" s="339"/>
    </row>
    <row r="3904" spans="7:56" s="338" customFormat="1">
      <c r="G3904" s="340"/>
      <c r="L3904" s="340"/>
      <c r="P3904" s="340"/>
      <c r="U3904" s="340"/>
      <c r="V3904" s="340"/>
      <c r="Z3904" s="340"/>
      <c r="AE3904" s="340"/>
      <c r="AI3904" s="340"/>
      <c r="AN3904" s="340"/>
      <c r="AO3904" s="340"/>
      <c r="AS3904" s="340"/>
      <c r="AX3904" s="340"/>
      <c r="BB3904" s="340"/>
      <c r="BD3904" s="339"/>
    </row>
    <row r="3905" spans="7:56" s="338" customFormat="1">
      <c r="G3905" s="340"/>
      <c r="L3905" s="340"/>
      <c r="P3905" s="340"/>
      <c r="U3905" s="340"/>
      <c r="V3905" s="340"/>
      <c r="Z3905" s="340"/>
      <c r="AE3905" s="340"/>
      <c r="AI3905" s="340"/>
      <c r="AN3905" s="340"/>
      <c r="AO3905" s="340"/>
      <c r="AS3905" s="340"/>
      <c r="AX3905" s="340"/>
      <c r="BB3905" s="340"/>
      <c r="BD3905" s="339"/>
    </row>
    <row r="3906" spans="7:56" s="338" customFormat="1">
      <c r="G3906" s="340"/>
      <c r="L3906" s="340"/>
      <c r="P3906" s="340"/>
      <c r="U3906" s="340"/>
      <c r="V3906" s="340"/>
      <c r="Z3906" s="340"/>
      <c r="AE3906" s="340"/>
      <c r="AI3906" s="340"/>
      <c r="AN3906" s="340"/>
      <c r="AO3906" s="340"/>
      <c r="AS3906" s="340"/>
      <c r="AX3906" s="340"/>
      <c r="BB3906" s="340"/>
      <c r="BD3906" s="339"/>
    </row>
    <row r="3907" spans="7:56" s="338" customFormat="1">
      <c r="G3907" s="340"/>
      <c r="L3907" s="340"/>
      <c r="P3907" s="340"/>
      <c r="U3907" s="340"/>
      <c r="V3907" s="340"/>
      <c r="Z3907" s="340"/>
      <c r="AE3907" s="340"/>
      <c r="AI3907" s="340"/>
      <c r="AN3907" s="340"/>
      <c r="AO3907" s="340"/>
      <c r="AS3907" s="340"/>
      <c r="AX3907" s="340"/>
      <c r="BB3907" s="340"/>
      <c r="BD3907" s="339"/>
    </row>
    <row r="3908" spans="7:56" s="338" customFormat="1">
      <c r="G3908" s="340"/>
      <c r="L3908" s="340"/>
      <c r="P3908" s="340"/>
      <c r="U3908" s="340"/>
      <c r="V3908" s="340"/>
      <c r="Z3908" s="340"/>
      <c r="AE3908" s="340"/>
      <c r="AI3908" s="340"/>
      <c r="AN3908" s="340"/>
      <c r="AO3908" s="340"/>
      <c r="AS3908" s="340"/>
      <c r="AX3908" s="340"/>
      <c r="BB3908" s="340"/>
      <c r="BD3908" s="339"/>
    </row>
    <row r="3909" spans="7:56" s="338" customFormat="1">
      <c r="G3909" s="340"/>
      <c r="L3909" s="340"/>
      <c r="P3909" s="340"/>
      <c r="U3909" s="340"/>
      <c r="V3909" s="340"/>
      <c r="Z3909" s="340"/>
      <c r="AE3909" s="340"/>
      <c r="AI3909" s="340"/>
      <c r="AN3909" s="340"/>
      <c r="AO3909" s="340"/>
      <c r="AS3909" s="340"/>
      <c r="AX3909" s="340"/>
      <c r="BB3909" s="340"/>
      <c r="BD3909" s="339"/>
    </row>
    <row r="3910" spans="7:56" s="338" customFormat="1">
      <c r="G3910" s="340"/>
      <c r="L3910" s="340"/>
      <c r="P3910" s="340"/>
      <c r="U3910" s="340"/>
      <c r="V3910" s="340"/>
      <c r="Z3910" s="340"/>
      <c r="AE3910" s="340"/>
      <c r="AI3910" s="340"/>
      <c r="AN3910" s="340"/>
      <c r="AO3910" s="340"/>
      <c r="AS3910" s="340"/>
      <c r="AX3910" s="340"/>
      <c r="BB3910" s="340"/>
      <c r="BD3910" s="339"/>
    </row>
    <row r="3911" spans="7:56" s="338" customFormat="1">
      <c r="G3911" s="340"/>
      <c r="L3911" s="340"/>
      <c r="P3911" s="340"/>
      <c r="U3911" s="340"/>
      <c r="V3911" s="340"/>
      <c r="Z3911" s="340"/>
      <c r="AE3911" s="340"/>
      <c r="AI3911" s="340"/>
      <c r="AN3911" s="340"/>
      <c r="AO3911" s="340"/>
      <c r="AS3911" s="340"/>
      <c r="AX3911" s="340"/>
      <c r="BB3911" s="340"/>
      <c r="BD3911" s="339"/>
    </row>
    <row r="3912" spans="7:56" s="338" customFormat="1">
      <c r="G3912" s="340"/>
      <c r="L3912" s="340"/>
      <c r="P3912" s="340"/>
      <c r="U3912" s="340"/>
      <c r="V3912" s="340"/>
      <c r="Z3912" s="340"/>
      <c r="AE3912" s="340"/>
      <c r="AI3912" s="340"/>
      <c r="AN3912" s="340"/>
      <c r="AO3912" s="340"/>
      <c r="AS3912" s="340"/>
      <c r="AX3912" s="340"/>
      <c r="BB3912" s="340"/>
      <c r="BD3912" s="339"/>
    </row>
    <row r="3913" spans="7:56" s="338" customFormat="1">
      <c r="G3913" s="340"/>
      <c r="L3913" s="340"/>
      <c r="P3913" s="340"/>
      <c r="U3913" s="340"/>
      <c r="V3913" s="340"/>
      <c r="Z3913" s="340"/>
      <c r="AE3913" s="340"/>
      <c r="AI3913" s="340"/>
      <c r="AN3913" s="340"/>
      <c r="AO3913" s="340"/>
      <c r="AS3913" s="340"/>
      <c r="AX3913" s="340"/>
      <c r="BB3913" s="340"/>
      <c r="BD3913" s="339"/>
    </row>
    <row r="3914" spans="7:56" s="338" customFormat="1">
      <c r="G3914" s="340"/>
      <c r="L3914" s="340"/>
      <c r="P3914" s="340"/>
      <c r="U3914" s="340"/>
      <c r="V3914" s="340"/>
      <c r="Z3914" s="340"/>
      <c r="AE3914" s="340"/>
      <c r="AI3914" s="340"/>
      <c r="AN3914" s="340"/>
      <c r="AO3914" s="340"/>
      <c r="AS3914" s="340"/>
      <c r="AX3914" s="340"/>
      <c r="BB3914" s="340"/>
      <c r="BD3914" s="339"/>
    </row>
    <row r="3915" spans="7:56" s="338" customFormat="1">
      <c r="G3915" s="340"/>
      <c r="L3915" s="340"/>
      <c r="P3915" s="340"/>
      <c r="U3915" s="340"/>
      <c r="V3915" s="340"/>
      <c r="Z3915" s="340"/>
      <c r="AE3915" s="340"/>
      <c r="AI3915" s="340"/>
      <c r="AN3915" s="340"/>
      <c r="AO3915" s="340"/>
      <c r="AS3915" s="340"/>
      <c r="AX3915" s="340"/>
      <c r="BB3915" s="340"/>
      <c r="BD3915" s="339"/>
    </row>
    <row r="3916" spans="7:56" s="338" customFormat="1">
      <c r="G3916" s="340"/>
      <c r="L3916" s="340"/>
      <c r="P3916" s="340"/>
      <c r="U3916" s="340"/>
      <c r="V3916" s="340"/>
      <c r="Z3916" s="340"/>
      <c r="AE3916" s="340"/>
      <c r="AI3916" s="340"/>
      <c r="AN3916" s="340"/>
      <c r="AO3916" s="340"/>
      <c r="AS3916" s="340"/>
      <c r="AX3916" s="340"/>
      <c r="BB3916" s="340"/>
      <c r="BD3916" s="339"/>
    </row>
    <row r="3917" spans="7:56" s="338" customFormat="1">
      <c r="G3917" s="340"/>
      <c r="L3917" s="340"/>
      <c r="P3917" s="340"/>
      <c r="U3917" s="340"/>
      <c r="V3917" s="340"/>
      <c r="Z3917" s="340"/>
      <c r="AE3917" s="340"/>
      <c r="AI3917" s="340"/>
      <c r="AN3917" s="340"/>
      <c r="AO3917" s="340"/>
      <c r="AS3917" s="340"/>
      <c r="AX3917" s="340"/>
      <c r="BB3917" s="340"/>
      <c r="BD3917" s="339"/>
    </row>
    <row r="3918" spans="7:56" s="338" customFormat="1">
      <c r="G3918" s="340"/>
      <c r="L3918" s="340"/>
      <c r="P3918" s="340"/>
      <c r="U3918" s="340"/>
      <c r="V3918" s="340"/>
      <c r="Z3918" s="340"/>
      <c r="AE3918" s="340"/>
      <c r="AI3918" s="340"/>
      <c r="AN3918" s="340"/>
      <c r="AO3918" s="340"/>
      <c r="AS3918" s="340"/>
      <c r="AX3918" s="340"/>
      <c r="BB3918" s="340"/>
      <c r="BD3918" s="339"/>
    </row>
    <row r="3919" spans="7:56" s="338" customFormat="1">
      <c r="G3919" s="340"/>
      <c r="L3919" s="340"/>
      <c r="P3919" s="340"/>
      <c r="U3919" s="340"/>
      <c r="V3919" s="340"/>
      <c r="Z3919" s="340"/>
      <c r="AE3919" s="340"/>
      <c r="AI3919" s="340"/>
      <c r="AN3919" s="340"/>
      <c r="AO3919" s="340"/>
      <c r="AS3919" s="340"/>
      <c r="AX3919" s="340"/>
      <c r="BB3919" s="340"/>
      <c r="BD3919" s="339"/>
    </row>
    <row r="3920" spans="7:56" s="338" customFormat="1">
      <c r="G3920" s="340"/>
      <c r="L3920" s="340"/>
      <c r="P3920" s="340"/>
      <c r="U3920" s="340"/>
      <c r="V3920" s="340"/>
      <c r="Z3920" s="340"/>
      <c r="AE3920" s="340"/>
      <c r="AI3920" s="340"/>
      <c r="AN3920" s="340"/>
      <c r="AO3920" s="340"/>
      <c r="AS3920" s="340"/>
      <c r="AX3920" s="340"/>
      <c r="BB3920" s="340"/>
      <c r="BD3920" s="339"/>
    </row>
    <row r="3921" spans="7:56" s="338" customFormat="1">
      <c r="G3921" s="340"/>
      <c r="L3921" s="340"/>
      <c r="P3921" s="340"/>
      <c r="U3921" s="340"/>
      <c r="V3921" s="340"/>
      <c r="Z3921" s="340"/>
      <c r="AE3921" s="340"/>
      <c r="AI3921" s="340"/>
      <c r="AN3921" s="340"/>
      <c r="AO3921" s="340"/>
      <c r="AS3921" s="340"/>
      <c r="AX3921" s="340"/>
      <c r="BB3921" s="340"/>
      <c r="BD3921" s="339"/>
    </row>
    <row r="3922" spans="7:56" s="338" customFormat="1">
      <c r="G3922" s="340"/>
      <c r="L3922" s="340"/>
      <c r="P3922" s="340"/>
      <c r="U3922" s="340"/>
      <c r="V3922" s="340"/>
      <c r="Z3922" s="340"/>
      <c r="AE3922" s="340"/>
      <c r="AI3922" s="340"/>
      <c r="AN3922" s="340"/>
      <c r="AO3922" s="340"/>
      <c r="AS3922" s="340"/>
      <c r="AX3922" s="340"/>
      <c r="BB3922" s="340"/>
      <c r="BD3922" s="339"/>
    </row>
    <row r="3923" spans="7:56" s="338" customFormat="1">
      <c r="G3923" s="340"/>
      <c r="L3923" s="340"/>
      <c r="P3923" s="340"/>
      <c r="U3923" s="340"/>
      <c r="V3923" s="340"/>
      <c r="Z3923" s="340"/>
      <c r="AE3923" s="340"/>
      <c r="AI3923" s="340"/>
      <c r="AN3923" s="340"/>
      <c r="AO3923" s="340"/>
      <c r="AS3923" s="340"/>
      <c r="AX3923" s="340"/>
      <c r="BB3923" s="340"/>
      <c r="BD3923" s="339"/>
    </row>
    <row r="3924" spans="7:56" s="338" customFormat="1">
      <c r="G3924" s="340"/>
      <c r="L3924" s="340"/>
      <c r="P3924" s="340"/>
      <c r="U3924" s="340"/>
      <c r="V3924" s="340"/>
      <c r="Z3924" s="340"/>
      <c r="AE3924" s="340"/>
      <c r="AI3924" s="340"/>
      <c r="AN3924" s="340"/>
      <c r="AO3924" s="340"/>
      <c r="AS3924" s="340"/>
      <c r="AX3924" s="340"/>
      <c r="BB3924" s="340"/>
      <c r="BD3924" s="339"/>
    </row>
    <row r="3925" spans="7:56" s="338" customFormat="1">
      <c r="G3925" s="340"/>
      <c r="L3925" s="340"/>
      <c r="P3925" s="340"/>
      <c r="U3925" s="340"/>
      <c r="V3925" s="340"/>
      <c r="Z3925" s="340"/>
      <c r="AE3925" s="340"/>
      <c r="AI3925" s="340"/>
      <c r="AN3925" s="340"/>
      <c r="AO3925" s="340"/>
      <c r="AS3925" s="340"/>
      <c r="AX3925" s="340"/>
      <c r="BB3925" s="340"/>
      <c r="BD3925" s="339"/>
    </row>
    <row r="3926" spans="7:56" s="338" customFormat="1">
      <c r="G3926" s="340"/>
      <c r="L3926" s="340"/>
      <c r="P3926" s="340"/>
      <c r="U3926" s="340"/>
      <c r="V3926" s="340"/>
      <c r="Z3926" s="340"/>
      <c r="AE3926" s="340"/>
      <c r="AI3926" s="340"/>
      <c r="AN3926" s="340"/>
      <c r="AO3926" s="340"/>
      <c r="AS3926" s="340"/>
      <c r="AX3926" s="340"/>
      <c r="BB3926" s="340"/>
      <c r="BD3926" s="339"/>
    </row>
    <row r="3927" spans="7:56" s="338" customFormat="1">
      <c r="G3927" s="340"/>
      <c r="L3927" s="340"/>
      <c r="P3927" s="340"/>
      <c r="U3927" s="340"/>
      <c r="V3927" s="340"/>
      <c r="Z3927" s="340"/>
      <c r="AE3927" s="340"/>
      <c r="AI3927" s="340"/>
      <c r="AN3927" s="340"/>
      <c r="AO3927" s="340"/>
      <c r="AS3927" s="340"/>
      <c r="AX3927" s="340"/>
      <c r="BB3927" s="340"/>
      <c r="BD3927" s="339"/>
    </row>
    <row r="3928" spans="7:56" s="338" customFormat="1">
      <c r="G3928" s="340"/>
      <c r="L3928" s="340"/>
      <c r="P3928" s="340"/>
      <c r="U3928" s="340"/>
      <c r="V3928" s="340"/>
      <c r="Z3928" s="340"/>
      <c r="AE3928" s="340"/>
      <c r="AI3928" s="340"/>
      <c r="AN3928" s="340"/>
      <c r="AO3928" s="340"/>
      <c r="AS3928" s="340"/>
      <c r="AX3928" s="340"/>
      <c r="BB3928" s="340"/>
      <c r="BD3928" s="339"/>
    </row>
    <row r="3929" spans="7:56" s="338" customFormat="1">
      <c r="G3929" s="340"/>
      <c r="L3929" s="340"/>
      <c r="P3929" s="340"/>
      <c r="U3929" s="340"/>
      <c r="V3929" s="340"/>
      <c r="Z3929" s="340"/>
      <c r="AE3929" s="340"/>
      <c r="AI3929" s="340"/>
      <c r="AN3929" s="340"/>
      <c r="AO3929" s="340"/>
      <c r="AS3929" s="340"/>
      <c r="AX3929" s="340"/>
      <c r="BB3929" s="340"/>
      <c r="BD3929" s="339"/>
    </row>
    <row r="3930" spans="7:56" s="338" customFormat="1">
      <c r="G3930" s="340"/>
      <c r="L3930" s="340"/>
      <c r="P3930" s="340"/>
      <c r="U3930" s="340"/>
      <c r="V3930" s="340"/>
      <c r="Z3930" s="340"/>
      <c r="AE3930" s="340"/>
      <c r="AI3930" s="340"/>
      <c r="AN3930" s="340"/>
      <c r="AO3930" s="340"/>
      <c r="AS3930" s="340"/>
      <c r="AX3930" s="340"/>
      <c r="BB3930" s="340"/>
      <c r="BD3930" s="339"/>
    </row>
    <row r="3931" spans="7:56" s="338" customFormat="1">
      <c r="G3931" s="340"/>
      <c r="L3931" s="340"/>
      <c r="P3931" s="340"/>
      <c r="U3931" s="340"/>
      <c r="V3931" s="340"/>
      <c r="Z3931" s="340"/>
      <c r="AE3931" s="340"/>
      <c r="AI3931" s="340"/>
      <c r="AN3931" s="340"/>
      <c r="AO3931" s="340"/>
      <c r="AS3931" s="340"/>
      <c r="AX3931" s="340"/>
      <c r="BB3931" s="340"/>
      <c r="BD3931" s="339"/>
    </row>
    <row r="3932" spans="7:56" s="338" customFormat="1">
      <c r="G3932" s="340"/>
      <c r="L3932" s="340"/>
      <c r="P3932" s="340"/>
      <c r="U3932" s="340"/>
      <c r="V3932" s="340"/>
      <c r="Z3932" s="340"/>
      <c r="AE3932" s="340"/>
      <c r="AI3932" s="340"/>
      <c r="AN3932" s="340"/>
      <c r="AO3932" s="340"/>
      <c r="AS3932" s="340"/>
      <c r="AX3932" s="340"/>
      <c r="BB3932" s="340"/>
      <c r="BD3932" s="339"/>
    </row>
    <row r="3933" spans="7:56" s="338" customFormat="1">
      <c r="G3933" s="340"/>
      <c r="L3933" s="340"/>
      <c r="P3933" s="340"/>
      <c r="U3933" s="340"/>
      <c r="V3933" s="340"/>
      <c r="Z3933" s="340"/>
      <c r="AE3933" s="340"/>
      <c r="AI3933" s="340"/>
      <c r="AN3933" s="340"/>
      <c r="AO3933" s="340"/>
      <c r="AS3933" s="340"/>
      <c r="AX3933" s="340"/>
      <c r="BB3933" s="340"/>
      <c r="BD3933" s="339"/>
    </row>
    <row r="3934" spans="7:56" s="338" customFormat="1">
      <c r="G3934" s="340"/>
      <c r="L3934" s="340"/>
      <c r="P3934" s="340"/>
      <c r="U3934" s="340"/>
      <c r="V3934" s="340"/>
      <c r="Z3934" s="340"/>
      <c r="AE3934" s="340"/>
      <c r="AI3934" s="340"/>
      <c r="AN3934" s="340"/>
      <c r="AO3934" s="340"/>
      <c r="AS3934" s="340"/>
      <c r="AX3934" s="340"/>
      <c r="BB3934" s="340"/>
      <c r="BD3934" s="339"/>
    </row>
    <row r="3935" spans="7:56" s="338" customFormat="1">
      <c r="G3935" s="340"/>
      <c r="L3935" s="340"/>
      <c r="P3935" s="340"/>
      <c r="U3935" s="340"/>
      <c r="V3935" s="340"/>
      <c r="Z3935" s="340"/>
      <c r="AE3935" s="340"/>
      <c r="AI3935" s="340"/>
      <c r="AN3935" s="340"/>
      <c r="AO3935" s="340"/>
      <c r="AS3935" s="340"/>
      <c r="AX3935" s="340"/>
      <c r="BB3935" s="340"/>
      <c r="BD3935" s="339"/>
    </row>
    <row r="3936" spans="7:56" s="338" customFormat="1">
      <c r="G3936" s="340"/>
      <c r="L3936" s="340"/>
      <c r="P3936" s="340"/>
      <c r="U3936" s="340"/>
      <c r="V3936" s="340"/>
      <c r="Z3936" s="340"/>
      <c r="AE3936" s="340"/>
      <c r="AI3936" s="340"/>
      <c r="AN3936" s="340"/>
      <c r="AO3936" s="340"/>
      <c r="AS3936" s="340"/>
      <c r="AX3936" s="340"/>
      <c r="BB3936" s="340"/>
      <c r="BD3936" s="339"/>
    </row>
    <row r="3937" spans="7:56" s="338" customFormat="1">
      <c r="G3937" s="340"/>
      <c r="L3937" s="340"/>
      <c r="P3937" s="340"/>
      <c r="U3937" s="340"/>
      <c r="V3937" s="340"/>
      <c r="Z3937" s="340"/>
      <c r="AE3937" s="340"/>
      <c r="AI3937" s="340"/>
      <c r="AN3937" s="340"/>
      <c r="AO3937" s="340"/>
      <c r="AS3937" s="340"/>
      <c r="AX3937" s="340"/>
      <c r="BB3937" s="340"/>
      <c r="BD3937" s="339"/>
    </row>
    <row r="3938" spans="7:56" s="338" customFormat="1">
      <c r="G3938" s="340"/>
      <c r="L3938" s="340"/>
      <c r="P3938" s="340"/>
      <c r="U3938" s="340"/>
      <c r="V3938" s="340"/>
      <c r="Z3938" s="340"/>
      <c r="AE3938" s="340"/>
      <c r="AI3938" s="340"/>
      <c r="AN3938" s="340"/>
      <c r="AO3938" s="340"/>
      <c r="AS3938" s="340"/>
      <c r="AX3938" s="340"/>
      <c r="BB3938" s="340"/>
      <c r="BD3938" s="339"/>
    </row>
    <row r="3939" spans="7:56" s="338" customFormat="1">
      <c r="G3939" s="340"/>
      <c r="L3939" s="340"/>
      <c r="P3939" s="340"/>
      <c r="U3939" s="340"/>
      <c r="V3939" s="340"/>
      <c r="Z3939" s="340"/>
      <c r="AE3939" s="340"/>
      <c r="AI3939" s="340"/>
      <c r="AN3939" s="340"/>
      <c r="AO3939" s="340"/>
      <c r="AS3939" s="340"/>
      <c r="AX3939" s="340"/>
      <c r="BB3939" s="340"/>
      <c r="BD3939" s="339"/>
    </row>
    <row r="3940" spans="7:56" s="338" customFormat="1">
      <c r="G3940" s="340"/>
      <c r="L3940" s="340"/>
      <c r="P3940" s="340"/>
      <c r="U3940" s="340"/>
      <c r="V3940" s="340"/>
      <c r="Z3940" s="340"/>
      <c r="AE3940" s="340"/>
      <c r="AI3940" s="340"/>
      <c r="AN3940" s="340"/>
      <c r="AO3940" s="340"/>
      <c r="AS3940" s="340"/>
      <c r="AX3940" s="340"/>
      <c r="BB3940" s="340"/>
      <c r="BD3940" s="339"/>
    </row>
    <row r="3941" spans="7:56" s="338" customFormat="1">
      <c r="G3941" s="340"/>
      <c r="L3941" s="340"/>
      <c r="P3941" s="340"/>
      <c r="U3941" s="340"/>
      <c r="V3941" s="340"/>
      <c r="Z3941" s="340"/>
      <c r="AE3941" s="340"/>
      <c r="AI3941" s="340"/>
      <c r="AN3941" s="340"/>
      <c r="AO3941" s="340"/>
      <c r="AS3941" s="340"/>
      <c r="AX3941" s="340"/>
      <c r="BB3941" s="340"/>
      <c r="BD3941" s="339"/>
    </row>
    <row r="3942" spans="7:56" s="338" customFormat="1">
      <c r="G3942" s="340"/>
      <c r="L3942" s="340"/>
      <c r="P3942" s="340"/>
      <c r="U3942" s="340"/>
      <c r="V3942" s="340"/>
      <c r="Z3942" s="340"/>
      <c r="AE3942" s="340"/>
      <c r="AI3942" s="340"/>
      <c r="AN3942" s="340"/>
      <c r="AO3942" s="340"/>
      <c r="AS3942" s="340"/>
      <c r="AX3942" s="340"/>
      <c r="BB3942" s="340"/>
      <c r="BD3942" s="339"/>
    </row>
    <row r="3943" spans="7:56" s="338" customFormat="1">
      <c r="G3943" s="340"/>
      <c r="L3943" s="340"/>
      <c r="P3943" s="340"/>
      <c r="U3943" s="340"/>
      <c r="V3943" s="340"/>
      <c r="Z3943" s="340"/>
      <c r="AE3943" s="340"/>
      <c r="AI3943" s="340"/>
      <c r="AN3943" s="340"/>
      <c r="AO3943" s="340"/>
      <c r="AS3943" s="340"/>
      <c r="AX3943" s="340"/>
      <c r="BB3943" s="340"/>
      <c r="BD3943" s="339"/>
    </row>
    <row r="3944" spans="7:56" s="338" customFormat="1">
      <c r="G3944" s="340"/>
      <c r="L3944" s="340"/>
      <c r="P3944" s="340"/>
      <c r="U3944" s="340"/>
      <c r="V3944" s="340"/>
      <c r="Z3944" s="340"/>
      <c r="AE3944" s="340"/>
      <c r="AI3944" s="340"/>
      <c r="AN3944" s="340"/>
      <c r="AO3944" s="340"/>
      <c r="AS3944" s="340"/>
      <c r="AX3944" s="340"/>
      <c r="BB3944" s="340"/>
      <c r="BD3944" s="339"/>
    </row>
    <row r="3945" spans="7:56" s="338" customFormat="1">
      <c r="G3945" s="340"/>
      <c r="L3945" s="340"/>
      <c r="P3945" s="340"/>
      <c r="U3945" s="340"/>
      <c r="V3945" s="340"/>
      <c r="Z3945" s="340"/>
      <c r="AE3945" s="340"/>
      <c r="AI3945" s="340"/>
      <c r="AN3945" s="340"/>
      <c r="AO3945" s="340"/>
      <c r="AS3945" s="340"/>
      <c r="AX3945" s="340"/>
      <c r="BB3945" s="340"/>
      <c r="BD3945" s="339"/>
    </row>
    <row r="3946" spans="7:56" s="338" customFormat="1">
      <c r="G3946" s="340"/>
      <c r="L3946" s="340"/>
      <c r="P3946" s="340"/>
      <c r="U3946" s="340"/>
      <c r="V3946" s="340"/>
      <c r="Z3946" s="340"/>
      <c r="AE3946" s="340"/>
      <c r="AI3946" s="340"/>
      <c r="AN3946" s="340"/>
      <c r="AO3946" s="340"/>
      <c r="AS3946" s="340"/>
      <c r="AX3946" s="340"/>
      <c r="BB3946" s="340"/>
      <c r="BD3946" s="339"/>
    </row>
    <row r="3947" spans="7:56" s="338" customFormat="1">
      <c r="G3947" s="340"/>
      <c r="L3947" s="340"/>
      <c r="P3947" s="340"/>
      <c r="U3947" s="340"/>
      <c r="V3947" s="340"/>
      <c r="Z3947" s="340"/>
      <c r="AE3947" s="340"/>
      <c r="AI3947" s="340"/>
      <c r="AN3947" s="340"/>
      <c r="AO3947" s="340"/>
      <c r="AS3947" s="340"/>
      <c r="AX3947" s="340"/>
      <c r="BB3947" s="340"/>
      <c r="BD3947" s="339"/>
    </row>
    <row r="3948" spans="7:56" s="338" customFormat="1">
      <c r="G3948" s="340"/>
      <c r="L3948" s="340"/>
      <c r="P3948" s="340"/>
      <c r="U3948" s="340"/>
      <c r="V3948" s="340"/>
      <c r="Z3948" s="340"/>
      <c r="AE3948" s="340"/>
      <c r="AI3948" s="340"/>
      <c r="AN3948" s="340"/>
      <c r="AO3948" s="340"/>
      <c r="AS3948" s="340"/>
      <c r="AX3948" s="340"/>
      <c r="BB3948" s="340"/>
      <c r="BD3948" s="339"/>
    </row>
    <row r="3949" spans="7:56" s="338" customFormat="1">
      <c r="G3949" s="340"/>
      <c r="L3949" s="340"/>
      <c r="P3949" s="340"/>
      <c r="U3949" s="340"/>
      <c r="V3949" s="340"/>
      <c r="Z3949" s="340"/>
      <c r="AE3949" s="340"/>
      <c r="AI3949" s="340"/>
      <c r="AN3949" s="340"/>
      <c r="AO3949" s="340"/>
      <c r="AS3949" s="340"/>
      <c r="AX3949" s="340"/>
      <c r="BB3949" s="340"/>
      <c r="BD3949" s="339"/>
    </row>
    <row r="3950" spans="7:56" s="338" customFormat="1">
      <c r="G3950" s="340"/>
      <c r="L3950" s="340"/>
      <c r="P3950" s="340"/>
      <c r="U3950" s="340"/>
      <c r="V3950" s="340"/>
      <c r="Z3950" s="340"/>
      <c r="AE3950" s="340"/>
      <c r="AI3950" s="340"/>
      <c r="AN3950" s="340"/>
      <c r="AO3950" s="340"/>
      <c r="AS3950" s="340"/>
      <c r="AX3950" s="340"/>
      <c r="BB3950" s="340"/>
      <c r="BD3950" s="339"/>
    </row>
    <row r="3951" spans="7:56" s="338" customFormat="1">
      <c r="G3951" s="340"/>
      <c r="L3951" s="340"/>
      <c r="P3951" s="340"/>
      <c r="U3951" s="340"/>
      <c r="V3951" s="340"/>
      <c r="Z3951" s="340"/>
      <c r="AE3951" s="340"/>
      <c r="AI3951" s="340"/>
      <c r="AN3951" s="340"/>
      <c r="AO3951" s="340"/>
      <c r="AS3951" s="340"/>
      <c r="AX3951" s="340"/>
      <c r="BB3951" s="340"/>
      <c r="BD3951" s="339"/>
    </row>
    <row r="3952" spans="7:56" s="338" customFormat="1">
      <c r="G3952" s="340"/>
      <c r="L3952" s="340"/>
      <c r="P3952" s="340"/>
      <c r="U3952" s="340"/>
      <c r="V3952" s="340"/>
      <c r="Z3952" s="340"/>
      <c r="AE3952" s="340"/>
      <c r="AI3952" s="340"/>
      <c r="AN3952" s="340"/>
      <c r="AO3952" s="340"/>
      <c r="AS3952" s="340"/>
      <c r="AX3952" s="340"/>
      <c r="BB3952" s="340"/>
      <c r="BD3952" s="339"/>
    </row>
    <row r="3953" spans="7:56" s="338" customFormat="1">
      <c r="G3953" s="340"/>
      <c r="L3953" s="340"/>
      <c r="P3953" s="340"/>
      <c r="U3953" s="340"/>
      <c r="V3953" s="340"/>
      <c r="Z3953" s="340"/>
      <c r="AE3953" s="340"/>
      <c r="AI3953" s="340"/>
      <c r="AN3953" s="340"/>
      <c r="AO3953" s="340"/>
      <c r="AS3953" s="340"/>
      <c r="AX3953" s="340"/>
      <c r="BB3953" s="340"/>
      <c r="BD3953" s="339"/>
    </row>
    <row r="3954" spans="7:56" s="338" customFormat="1">
      <c r="G3954" s="340"/>
      <c r="L3954" s="340"/>
      <c r="P3954" s="340"/>
      <c r="U3954" s="340"/>
      <c r="V3954" s="340"/>
      <c r="Z3954" s="340"/>
      <c r="AE3954" s="340"/>
      <c r="AI3954" s="340"/>
      <c r="AN3954" s="340"/>
      <c r="AO3954" s="340"/>
      <c r="AS3954" s="340"/>
      <c r="AX3954" s="340"/>
      <c r="BB3954" s="340"/>
      <c r="BD3954" s="339"/>
    </row>
    <row r="3955" spans="7:56" s="338" customFormat="1">
      <c r="G3955" s="340"/>
      <c r="L3955" s="340"/>
      <c r="P3955" s="340"/>
      <c r="U3955" s="340"/>
      <c r="V3955" s="340"/>
      <c r="Z3955" s="340"/>
      <c r="AE3955" s="340"/>
      <c r="AI3955" s="340"/>
      <c r="AN3955" s="340"/>
      <c r="AO3955" s="340"/>
      <c r="AS3955" s="340"/>
      <c r="AX3955" s="340"/>
      <c r="BB3955" s="340"/>
      <c r="BD3955" s="339"/>
    </row>
    <row r="3956" spans="7:56" s="338" customFormat="1">
      <c r="G3956" s="340"/>
      <c r="L3956" s="340"/>
      <c r="P3956" s="340"/>
      <c r="U3956" s="340"/>
      <c r="V3956" s="340"/>
      <c r="Z3956" s="340"/>
      <c r="AE3956" s="340"/>
      <c r="AI3956" s="340"/>
      <c r="AN3956" s="340"/>
      <c r="AO3956" s="340"/>
      <c r="AS3956" s="340"/>
      <c r="AX3956" s="340"/>
      <c r="BB3956" s="340"/>
      <c r="BD3956" s="339"/>
    </row>
    <row r="3957" spans="7:56" s="338" customFormat="1">
      <c r="G3957" s="340"/>
      <c r="L3957" s="340"/>
      <c r="P3957" s="340"/>
      <c r="U3957" s="340"/>
      <c r="V3957" s="340"/>
      <c r="Z3957" s="340"/>
      <c r="AE3957" s="340"/>
      <c r="AI3957" s="340"/>
      <c r="AN3957" s="340"/>
      <c r="AO3957" s="340"/>
      <c r="AS3957" s="340"/>
      <c r="AX3957" s="340"/>
      <c r="BB3957" s="340"/>
      <c r="BD3957" s="339"/>
    </row>
    <row r="3958" spans="7:56" s="338" customFormat="1">
      <c r="G3958" s="340"/>
      <c r="L3958" s="340"/>
      <c r="P3958" s="340"/>
      <c r="U3958" s="340"/>
      <c r="V3958" s="340"/>
      <c r="Z3958" s="340"/>
      <c r="AE3958" s="340"/>
      <c r="AI3958" s="340"/>
      <c r="AN3958" s="340"/>
      <c r="AO3958" s="340"/>
      <c r="AS3958" s="340"/>
      <c r="AX3958" s="340"/>
      <c r="BB3958" s="340"/>
      <c r="BD3958" s="339"/>
    </row>
    <row r="3959" spans="7:56" s="338" customFormat="1">
      <c r="G3959" s="340"/>
      <c r="L3959" s="340"/>
      <c r="P3959" s="340"/>
      <c r="U3959" s="340"/>
      <c r="V3959" s="340"/>
      <c r="Z3959" s="340"/>
      <c r="AE3959" s="340"/>
      <c r="AI3959" s="340"/>
      <c r="AN3959" s="340"/>
      <c r="AO3959" s="340"/>
      <c r="AS3959" s="340"/>
      <c r="AX3959" s="340"/>
      <c r="BB3959" s="340"/>
      <c r="BD3959" s="339"/>
    </row>
    <row r="3960" spans="7:56" s="338" customFormat="1">
      <c r="G3960" s="340"/>
      <c r="L3960" s="340"/>
      <c r="P3960" s="340"/>
      <c r="U3960" s="340"/>
      <c r="V3960" s="340"/>
      <c r="Z3960" s="340"/>
      <c r="AE3960" s="340"/>
      <c r="AI3960" s="340"/>
      <c r="AN3960" s="340"/>
      <c r="AO3960" s="340"/>
      <c r="AS3960" s="340"/>
      <c r="AX3960" s="340"/>
      <c r="BB3960" s="340"/>
      <c r="BD3960" s="339"/>
    </row>
    <row r="3961" spans="7:56" s="338" customFormat="1">
      <c r="G3961" s="340"/>
      <c r="L3961" s="340"/>
      <c r="P3961" s="340"/>
      <c r="U3961" s="340"/>
      <c r="V3961" s="340"/>
      <c r="Z3961" s="340"/>
      <c r="AE3961" s="340"/>
      <c r="AI3961" s="340"/>
      <c r="AN3961" s="340"/>
      <c r="AO3961" s="340"/>
      <c r="AS3961" s="340"/>
      <c r="AX3961" s="340"/>
      <c r="BB3961" s="340"/>
      <c r="BD3961" s="339"/>
    </row>
    <row r="3962" spans="7:56" s="338" customFormat="1">
      <c r="G3962" s="340"/>
      <c r="L3962" s="340"/>
      <c r="P3962" s="340"/>
      <c r="U3962" s="340"/>
      <c r="V3962" s="340"/>
      <c r="Z3962" s="340"/>
      <c r="AE3962" s="340"/>
      <c r="AI3962" s="340"/>
      <c r="AN3962" s="340"/>
      <c r="AO3962" s="340"/>
      <c r="AS3962" s="340"/>
      <c r="AX3962" s="340"/>
      <c r="BB3962" s="340"/>
      <c r="BD3962" s="339"/>
    </row>
    <row r="3963" spans="7:56" s="338" customFormat="1">
      <c r="G3963" s="340"/>
      <c r="L3963" s="340"/>
      <c r="P3963" s="340"/>
      <c r="U3963" s="340"/>
      <c r="V3963" s="340"/>
      <c r="Z3963" s="340"/>
      <c r="AE3963" s="340"/>
      <c r="AI3963" s="340"/>
      <c r="AN3963" s="340"/>
      <c r="AO3963" s="340"/>
      <c r="AS3963" s="340"/>
      <c r="AX3963" s="340"/>
      <c r="BB3963" s="340"/>
      <c r="BD3963" s="339"/>
    </row>
    <row r="3964" spans="7:56" s="338" customFormat="1">
      <c r="G3964" s="340"/>
      <c r="L3964" s="340"/>
      <c r="P3964" s="340"/>
      <c r="U3964" s="340"/>
      <c r="V3964" s="340"/>
      <c r="Z3964" s="340"/>
      <c r="AE3964" s="340"/>
      <c r="AI3964" s="340"/>
      <c r="AN3964" s="340"/>
      <c r="AO3964" s="340"/>
      <c r="AS3964" s="340"/>
      <c r="AX3964" s="340"/>
      <c r="BB3964" s="340"/>
      <c r="BD3964" s="339"/>
    </row>
    <row r="3965" spans="7:56" s="338" customFormat="1">
      <c r="G3965" s="340"/>
      <c r="L3965" s="340"/>
      <c r="P3965" s="340"/>
      <c r="U3965" s="340"/>
      <c r="V3965" s="340"/>
      <c r="Z3965" s="340"/>
      <c r="AE3965" s="340"/>
      <c r="AI3965" s="340"/>
      <c r="AN3965" s="340"/>
      <c r="AO3965" s="340"/>
      <c r="AS3965" s="340"/>
      <c r="AX3965" s="340"/>
      <c r="BB3965" s="340"/>
      <c r="BD3965" s="339"/>
    </row>
    <row r="3966" spans="7:56" s="338" customFormat="1">
      <c r="G3966" s="340"/>
      <c r="L3966" s="340"/>
      <c r="P3966" s="340"/>
      <c r="U3966" s="340"/>
      <c r="V3966" s="340"/>
      <c r="Z3966" s="340"/>
      <c r="AE3966" s="340"/>
      <c r="AI3966" s="340"/>
      <c r="AN3966" s="340"/>
      <c r="AO3966" s="340"/>
      <c r="AS3966" s="340"/>
      <c r="AX3966" s="340"/>
      <c r="BB3966" s="340"/>
      <c r="BD3966" s="339"/>
    </row>
    <row r="3967" spans="7:56" s="338" customFormat="1">
      <c r="G3967" s="340"/>
      <c r="L3967" s="340"/>
      <c r="P3967" s="340"/>
      <c r="U3967" s="340"/>
      <c r="V3967" s="340"/>
      <c r="Z3967" s="340"/>
      <c r="AE3967" s="340"/>
      <c r="AI3967" s="340"/>
      <c r="AN3967" s="340"/>
      <c r="AO3967" s="340"/>
      <c r="AS3967" s="340"/>
      <c r="AX3967" s="340"/>
      <c r="BB3967" s="340"/>
      <c r="BD3967" s="339"/>
    </row>
    <row r="3968" spans="7:56" s="338" customFormat="1">
      <c r="G3968" s="340"/>
      <c r="L3968" s="340"/>
      <c r="P3968" s="340"/>
      <c r="U3968" s="340"/>
      <c r="V3968" s="340"/>
      <c r="Z3968" s="340"/>
      <c r="AE3968" s="340"/>
      <c r="AI3968" s="340"/>
      <c r="AN3968" s="340"/>
      <c r="AO3968" s="340"/>
      <c r="AS3968" s="340"/>
      <c r="AX3968" s="340"/>
      <c r="BB3968" s="340"/>
      <c r="BD3968" s="339"/>
    </row>
    <row r="3969" spans="7:56" s="338" customFormat="1">
      <c r="G3969" s="340"/>
      <c r="L3969" s="340"/>
      <c r="P3969" s="340"/>
      <c r="U3969" s="340"/>
      <c r="V3969" s="340"/>
      <c r="Z3969" s="340"/>
      <c r="AE3969" s="340"/>
      <c r="AI3969" s="340"/>
      <c r="AN3969" s="340"/>
      <c r="AO3969" s="340"/>
      <c r="AS3969" s="340"/>
      <c r="AX3969" s="340"/>
      <c r="BB3969" s="340"/>
      <c r="BD3969" s="339"/>
    </row>
    <row r="3970" spans="7:56" s="338" customFormat="1">
      <c r="G3970" s="340"/>
      <c r="L3970" s="340"/>
      <c r="P3970" s="340"/>
      <c r="U3970" s="340"/>
      <c r="V3970" s="340"/>
      <c r="Z3970" s="340"/>
      <c r="AE3970" s="340"/>
      <c r="AI3970" s="340"/>
      <c r="AN3970" s="340"/>
      <c r="AO3970" s="340"/>
      <c r="AS3970" s="340"/>
      <c r="AX3970" s="340"/>
      <c r="BB3970" s="340"/>
      <c r="BD3970" s="339"/>
    </row>
    <row r="3971" spans="7:56" s="338" customFormat="1">
      <c r="G3971" s="340"/>
      <c r="L3971" s="340"/>
      <c r="P3971" s="340"/>
      <c r="U3971" s="340"/>
      <c r="V3971" s="340"/>
      <c r="Z3971" s="340"/>
      <c r="AE3971" s="340"/>
      <c r="AI3971" s="340"/>
      <c r="AN3971" s="340"/>
      <c r="AO3971" s="340"/>
      <c r="AS3971" s="340"/>
      <c r="AX3971" s="340"/>
      <c r="BB3971" s="340"/>
      <c r="BD3971" s="339"/>
    </row>
    <row r="3972" spans="7:56" s="338" customFormat="1">
      <c r="G3972" s="340"/>
      <c r="L3972" s="340"/>
      <c r="P3972" s="340"/>
      <c r="U3972" s="340"/>
      <c r="V3972" s="340"/>
      <c r="Z3972" s="340"/>
      <c r="AE3972" s="340"/>
      <c r="AI3972" s="340"/>
      <c r="AN3972" s="340"/>
      <c r="AO3972" s="340"/>
      <c r="AS3972" s="340"/>
      <c r="AX3972" s="340"/>
      <c r="BB3972" s="340"/>
      <c r="BD3972" s="339"/>
    </row>
    <row r="3973" spans="7:56" s="338" customFormat="1">
      <c r="G3973" s="340"/>
      <c r="L3973" s="340"/>
      <c r="P3973" s="340"/>
      <c r="U3973" s="340"/>
      <c r="V3973" s="340"/>
      <c r="Z3973" s="340"/>
      <c r="AE3973" s="340"/>
      <c r="AI3973" s="340"/>
      <c r="AN3973" s="340"/>
      <c r="AO3973" s="340"/>
      <c r="AS3973" s="340"/>
      <c r="AX3973" s="340"/>
      <c r="BB3973" s="340"/>
      <c r="BD3973" s="339"/>
    </row>
    <row r="3974" spans="7:56" s="338" customFormat="1">
      <c r="G3974" s="340"/>
      <c r="L3974" s="340"/>
      <c r="P3974" s="340"/>
      <c r="U3974" s="340"/>
      <c r="V3974" s="340"/>
      <c r="Z3974" s="340"/>
      <c r="AE3974" s="340"/>
      <c r="AI3974" s="340"/>
      <c r="AN3974" s="340"/>
      <c r="AO3974" s="340"/>
      <c r="AS3974" s="340"/>
      <c r="AX3974" s="340"/>
      <c r="BB3974" s="340"/>
      <c r="BD3974" s="339"/>
    </row>
    <row r="3975" spans="7:56" s="338" customFormat="1">
      <c r="G3975" s="340"/>
      <c r="L3975" s="340"/>
      <c r="P3975" s="340"/>
      <c r="U3975" s="340"/>
      <c r="V3975" s="340"/>
      <c r="Z3975" s="340"/>
      <c r="AE3975" s="340"/>
      <c r="AI3975" s="340"/>
      <c r="AN3975" s="340"/>
      <c r="AO3975" s="340"/>
      <c r="AS3975" s="340"/>
      <c r="AX3975" s="340"/>
      <c r="BB3975" s="340"/>
      <c r="BD3975" s="339"/>
    </row>
    <row r="3976" spans="7:56" s="338" customFormat="1">
      <c r="G3976" s="340"/>
      <c r="L3976" s="340"/>
      <c r="P3976" s="340"/>
      <c r="U3976" s="340"/>
      <c r="V3976" s="340"/>
      <c r="Z3976" s="340"/>
      <c r="AE3976" s="340"/>
      <c r="AI3976" s="340"/>
      <c r="AN3976" s="340"/>
      <c r="AO3976" s="340"/>
      <c r="AS3976" s="340"/>
      <c r="AX3976" s="340"/>
      <c r="BB3976" s="340"/>
      <c r="BD3976" s="339"/>
    </row>
    <row r="3977" spans="7:56" s="338" customFormat="1">
      <c r="G3977" s="340"/>
      <c r="L3977" s="340"/>
      <c r="P3977" s="340"/>
      <c r="U3977" s="340"/>
      <c r="V3977" s="340"/>
      <c r="Z3977" s="340"/>
      <c r="AE3977" s="340"/>
      <c r="AI3977" s="340"/>
      <c r="AN3977" s="340"/>
      <c r="AO3977" s="340"/>
      <c r="AS3977" s="340"/>
      <c r="AX3977" s="340"/>
      <c r="BB3977" s="340"/>
      <c r="BD3977" s="339"/>
    </row>
    <row r="3978" spans="7:56" s="338" customFormat="1">
      <c r="G3978" s="340"/>
      <c r="L3978" s="340"/>
      <c r="P3978" s="340"/>
      <c r="U3978" s="340"/>
      <c r="V3978" s="340"/>
      <c r="Z3978" s="340"/>
      <c r="AE3978" s="340"/>
      <c r="AI3978" s="340"/>
      <c r="AN3978" s="340"/>
      <c r="AO3978" s="340"/>
      <c r="AS3978" s="340"/>
      <c r="AX3978" s="340"/>
      <c r="BB3978" s="340"/>
      <c r="BD3978" s="339"/>
    </row>
    <row r="3979" spans="7:56" s="338" customFormat="1">
      <c r="G3979" s="340"/>
      <c r="L3979" s="340"/>
      <c r="P3979" s="340"/>
      <c r="U3979" s="340"/>
      <c r="V3979" s="340"/>
      <c r="Z3979" s="340"/>
      <c r="AE3979" s="340"/>
      <c r="AI3979" s="340"/>
      <c r="AN3979" s="340"/>
      <c r="AO3979" s="340"/>
      <c r="AS3979" s="340"/>
      <c r="AX3979" s="340"/>
      <c r="BB3979" s="340"/>
      <c r="BD3979" s="339"/>
    </row>
    <row r="3980" spans="7:56" s="338" customFormat="1">
      <c r="G3980" s="340"/>
      <c r="L3980" s="340"/>
      <c r="P3980" s="340"/>
      <c r="U3980" s="340"/>
      <c r="V3980" s="340"/>
      <c r="Z3980" s="340"/>
      <c r="AE3980" s="340"/>
      <c r="AI3980" s="340"/>
      <c r="AN3980" s="340"/>
      <c r="AO3980" s="340"/>
      <c r="AS3980" s="340"/>
      <c r="AX3980" s="340"/>
      <c r="BB3980" s="340"/>
      <c r="BD3980" s="339"/>
    </row>
    <row r="3981" spans="7:56" s="338" customFormat="1">
      <c r="G3981" s="340"/>
      <c r="L3981" s="340"/>
      <c r="P3981" s="340"/>
      <c r="U3981" s="340"/>
      <c r="V3981" s="340"/>
      <c r="Z3981" s="340"/>
      <c r="AE3981" s="340"/>
      <c r="AI3981" s="340"/>
      <c r="AN3981" s="340"/>
      <c r="AO3981" s="340"/>
      <c r="AS3981" s="340"/>
      <c r="AX3981" s="340"/>
      <c r="BB3981" s="340"/>
      <c r="BD3981" s="339"/>
    </row>
    <row r="3982" spans="7:56" s="338" customFormat="1">
      <c r="G3982" s="340"/>
      <c r="L3982" s="340"/>
      <c r="P3982" s="340"/>
      <c r="U3982" s="340"/>
      <c r="V3982" s="340"/>
      <c r="Z3982" s="340"/>
      <c r="AE3982" s="340"/>
      <c r="AI3982" s="340"/>
      <c r="AN3982" s="340"/>
      <c r="AO3982" s="340"/>
      <c r="AS3982" s="340"/>
      <c r="AX3982" s="340"/>
      <c r="BB3982" s="340"/>
      <c r="BD3982" s="339"/>
    </row>
    <row r="3983" spans="7:56" s="338" customFormat="1">
      <c r="G3983" s="340"/>
      <c r="L3983" s="340"/>
      <c r="P3983" s="340"/>
      <c r="U3983" s="340"/>
      <c r="V3983" s="340"/>
      <c r="Z3983" s="340"/>
      <c r="AE3983" s="340"/>
      <c r="AI3983" s="340"/>
      <c r="AN3983" s="340"/>
      <c r="AO3983" s="340"/>
      <c r="AS3983" s="340"/>
      <c r="AX3983" s="340"/>
      <c r="BB3983" s="340"/>
      <c r="BD3983" s="339"/>
    </row>
    <row r="3984" spans="7:56" s="338" customFormat="1">
      <c r="G3984" s="340"/>
      <c r="L3984" s="340"/>
      <c r="P3984" s="340"/>
      <c r="U3984" s="340"/>
      <c r="V3984" s="340"/>
      <c r="Z3984" s="340"/>
      <c r="AE3984" s="340"/>
      <c r="AI3984" s="340"/>
      <c r="AN3984" s="340"/>
      <c r="AO3984" s="340"/>
      <c r="AS3984" s="340"/>
      <c r="AX3984" s="340"/>
      <c r="BB3984" s="340"/>
      <c r="BD3984" s="339"/>
    </row>
    <row r="3985" spans="7:56" s="338" customFormat="1">
      <c r="G3985" s="340"/>
      <c r="L3985" s="340"/>
      <c r="P3985" s="340"/>
      <c r="U3985" s="340"/>
      <c r="V3985" s="340"/>
      <c r="Z3985" s="340"/>
      <c r="AE3985" s="340"/>
      <c r="AI3985" s="340"/>
      <c r="AN3985" s="340"/>
      <c r="AO3985" s="340"/>
      <c r="AS3985" s="340"/>
      <c r="AX3985" s="340"/>
      <c r="BB3985" s="340"/>
      <c r="BD3985" s="339"/>
    </row>
    <row r="3986" spans="7:56" s="338" customFormat="1">
      <c r="G3986" s="340"/>
      <c r="L3986" s="340"/>
      <c r="P3986" s="340"/>
      <c r="U3986" s="340"/>
      <c r="V3986" s="340"/>
      <c r="Z3986" s="340"/>
      <c r="AE3986" s="340"/>
      <c r="AI3986" s="340"/>
      <c r="AN3986" s="340"/>
      <c r="AO3986" s="340"/>
      <c r="AS3986" s="340"/>
      <c r="AX3986" s="340"/>
      <c r="BB3986" s="340"/>
      <c r="BD3986" s="339"/>
    </row>
    <row r="3987" spans="7:56" s="338" customFormat="1">
      <c r="G3987" s="340"/>
      <c r="L3987" s="340"/>
      <c r="P3987" s="340"/>
      <c r="U3987" s="340"/>
      <c r="V3987" s="340"/>
      <c r="Z3987" s="340"/>
      <c r="AE3987" s="340"/>
      <c r="AI3987" s="340"/>
      <c r="AN3987" s="340"/>
      <c r="AO3987" s="340"/>
      <c r="AS3987" s="340"/>
      <c r="AX3987" s="340"/>
      <c r="BB3987" s="340"/>
      <c r="BD3987" s="339"/>
    </row>
    <row r="3988" spans="7:56" s="338" customFormat="1">
      <c r="G3988" s="340"/>
      <c r="L3988" s="340"/>
      <c r="P3988" s="340"/>
      <c r="U3988" s="340"/>
      <c r="V3988" s="340"/>
      <c r="Z3988" s="340"/>
      <c r="AE3988" s="340"/>
      <c r="AI3988" s="340"/>
      <c r="AN3988" s="340"/>
      <c r="AO3988" s="340"/>
      <c r="AS3988" s="340"/>
      <c r="AX3988" s="340"/>
      <c r="BB3988" s="340"/>
      <c r="BD3988" s="339"/>
    </row>
    <row r="3989" spans="7:56" s="338" customFormat="1">
      <c r="G3989" s="340"/>
      <c r="L3989" s="340"/>
      <c r="P3989" s="340"/>
      <c r="U3989" s="340"/>
      <c r="V3989" s="340"/>
      <c r="Z3989" s="340"/>
      <c r="AE3989" s="340"/>
      <c r="AI3989" s="340"/>
      <c r="AN3989" s="340"/>
      <c r="AO3989" s="340"/>
      <c r="AS3989" s="340"/>
      <c r="AX3989" s="340"/>
      <c r="BB3989" s="340"/>
      <c r="BD3989" s="339"/>
    </row>
    <row r="3990" spans="7:56" s="338" customFormat="1">
      <c r="G3990" s="340"/>
      <c r="L3990" s="340"/>
      <c r="P3990" s="340"/>
      <c r="U3990" s="340"/>
      <c r="V3990" s="340"/>
      <c r="Z3990" s="340"/>
      <c r="AE3990" s="340"/>
      <c r="AI3990" s="340"/>
      <c r="AN3990" s="340"/>
      <c r="AO3990" s="340"/>
      <c r="AS3990" s="340"/>
      <c r="AX3990" s="340"/>
      <c r="BB3990" s="340"/>
      <c r="BD3990" s="339"/>
    </row>
    <row r="3991" spans="7:56" s="338" customFormat="1">
      <c r="G3991" s="340"/>
      <c r="L3991" s="340"/>
      <c r="P3991" s="340"/>
      <c r="U3991" s="340"/>
      <c r="V3991" s="340"/>
      <c r="Z3991" s="340"/>
      <c r="AE3991" s="340"/>
      <c r="AI3991" s="340"/>
      <c r="AN3991" s="340"/>
      <c r="AO3991" s="340"/>
      <c r="AS3991" s="340"/>
      <c r="AX3991" s="340"/>
      <c r="BB3991" s="340"/>
      <c r="BD3991" s="339"/>
    </row>
    <row r="3992" spans="7:56" s="338" customFormat="1">
      <c r="G3992" s="340"/>
      <c r="L3992" s="340"/>
      <c r="P3992" s="340"/>
      <c r="U3992" s="340"/>
      <c r="V3992" s="340"/>
      <c r="Z3992" s="340"/>
      <c r="AE3992" s="340"/>
      <c r="AI3992" s="340"/>
      <c r="AN3992" s="340"/>
      <c r="AO3992" s="340"/>
      <c r="AS3992" s="340"/>
      <c r="AX3992" s="340"/>
      <c r="BB3992" s="340"/>
      <c r="BD3992" s="339"/>
    </row>
    <row r="3993" spans="7:56" s="338" customFormat="1">
      <c r="G3993" s="340"/>
      <c r="L3993" s="340"/>
      <c r="P3993" s="340"/>
      <c r="U3993" s="340"/>
      <c r="V3993" s="340"/>
      <c r="Z3993" s="340"/>
      <c r="AE3993" s="340"/>
      <c r="AI3993" s="340"/>
      <c r="AN3993" s="340"/>
      <c r="AO3993" s="340"/>
      <c r="AS3993" s="340"/>
      <c r="AX3993" s="340"/>
      <c r="BB3993" s="340"/>
      <c r="BD3993" s="339"/>
    </row>
    <row r="3994" spans="7:56" s="338" customFormat="1">
      <c r="G3994" s="340"/>
      <c r="L3994" s="340"/>
      <c r="P3994" s="340"/>
      <c r="U3994" s="340"/>
      <c r="V3994" s="340"/>
      <c r="Z3994" s="340"/>
      <c r="AE3994" s="340"/>
      <c r="AI3994" s="340"/>
      <c r="AN3994" s="340"/>
      <c r="AO3994" s="340"/>
      <c r="AS3994" s="340"/>
      <c r="AX3994" s="340"/>
      <c r="BB3994" s="340"/>
      <c r="BD3994" s="339"/>
    </row>
    <row r="3995" spans="7:56" s="338" customFormat="1">
      <c r="G3995" s="340"/>
      <c r="L3995" s="340"/>
      <c r="P3995" s="340"/>
      <c r="U3995" s="340"/>
      <c r="V3995" s="340"/>
      <c r="Z3995" s="340"/>
      <c r="AE3995" s="340"/>
      <c r="AI3995" s="340"/>
      <c r="AN3995" s="340"/>
      <c r="AO3995" s="340"/>
      <c r="AS3995" s="340"/>
      <c r="AX3995" s="340"/>
      <c r="BB3995" s="340"/>
      <c r="BD3995" s="339"/>
    </row>
    <row r="3996" spans="7:56" s="338" customFormat="1">
      <c r="G3996" s="340"/>
      <c r="L3996" s="340"/>
      <c r="P3996" s="340"/>
      <c r="U3996" s="340"/>
      <c r="V3996" s="340"/>
      <c r="Z3996" s="340"/>
      <c r="AE3996" s="340"/>
      <c r="AI3996" s="340"/>
      <c r="AN3996" s="340"/>
      <c r="AO3996" s="340"/>
      <c r="AS3996" s="340"/>
      <c r="AX3996" s="340"/>
      <c r="BB3996" s="340"/>
      <c r="BD3996" s="339"/>
    </row>
    <row r="3997" spans="7:56" s="338" customFormat="1">
      <c r="G3997" s="340"/>
      <c r="L3997" s="340"/>
      <c r="P3997" s="340"/>
      <c r="U3997" s="340"/>
      <c r="V3997" s="340"/>
      <c r="Z3997" s="340"/>
      <c r="AE3997" s="340"/>
      <c r="AI3997" s="340"/>
      <c r="AN3997" s="340"/>
      <c r="AO3997" s="340"/>
      <c r="AS3997" s="340"/>
      <c r="AX3997" s="340"/>
      <c r="BB3997" s="340"/>
      <c r="BD3997" s="339"/>
    </row>
    <row r="3998" spans="7:56" s="338" customFormat="1">
      <c r="G3998" s="340"/>
      <c r="L3998" s="340"/>
      <c r="P3998" s="340"/>
      <c r="U3998" s="340"/>
      <c r="V3998" s="340"/>
      <c r="Z3998" s="340"/>
      <c r="AE3998" s="340"/>
      <c r="AI3998" s="340"/>
      <c r="AN3998" s="340"/>
      <c r="AO3998" s="340"/>
      <c r="AS3998" s="340"/>
      <c r="AX3998" s="340"/>
      <c r="BB3998" s="340"/>
      <c r="BD3998" s="339"/>
    </row>
    <row r="3999" spans="7:56" s="338" customFormat="1">
      <c r="G3999" s="340"/>
      <c r="L3999" s="340"/>
      <c r="P3999" s="340"/>
      <c r="U3999" s="340"/>
      <c r="V3999" s="340"/>
      <c r="Z3999" s="340"/>
      <c r="AE3999" s="340"/>
      <c r="AI3999" s="340"/>
      <c r="AN3999" s="340"/>
      <c r="AO3999" s="340"/>
      <c r="AS3999" s="340"/>
      <c r="AX3999" s="340"/>
      <c r="BB3999" s="340"/>
      <c r="BD3999" s="339"/>
    </row>
    <row r="4000" spans="7:56" s="338" customFormat="1">
      <c r="G4000" s="340"/>
      <c r="L4000" s="340"/>
      <c r="P4000" s="340"/>
      <c r="U4000" s="340"/>
      <c r="V4000" s="340"/>
      <c r="Z4000" s="340"/>
      <c r="AE4000" s="340"/>
      <c r="AI4000" s="340"/>
      <c r="AN4000" s="340"/>
      <c r="AO4000" s="340"/>
      <c r="AS4000" s="340"/>
      <c r="AX4000" s="340"/>
      <c r="BB4000" s="340"/>
      <c r="BD4000" s="339"/>
    </row>
    <row r="4001" spans="7:56" s="338" customFormat="1">
      <c r="G4001" s="340"/>
      <c r="L4001" s="340"/>
      <c r="P4001" s="340"/>
      <c r="U4001" s="340"/>
      <c r="V4001" s="340"/>
      <c r="Z4001" s="340"/>
      <c r="AE4001" s="340"/>
      <c r="AI4001" s="340"/>
      <c r="AN4001" s="340"/>
      <c r="AO4001" s="340"/>
      <c r="AS4001" s="340"/>
      <c r="AX4001" s="340"/>
      <c r="BB4001" s="340"/>
      <c r="BD4001" s="339"/>
    </row>
    <row r="4002" spans="7:56" s="338" customFormat="1">
      <c r="G4002" s="340"/>
      <c r="L4002" s="340"/>
      <c r="P4002" s="340"/>
      <c r="U4002" s="340"/>
      <c r="V4002" s="340"/>
      <c r="Z4002" s="340"/>
      <c r="AE4002" s="340"/>
      <c r="AI4002" s="340"/>
      <c r="AN4002" s="340"/>
      <c r="AO4002" s="340"/>
      <c r="AS4002" s="340"/>
      <c r="AX4002" s="340"/>
      <c r="BB4002" s="340"/>
      <c r="BD4002" s="339"/>
    </row>
    <row r="4003" spans="7:56" s="338" customFormat="1">
      <c r="G4003" s="340"/>
      <c r="L4003" s="340"/>
      <c r="P4003" s="340"/>
      <c r="U4003" s="340"/>
      <c r="V4003" s="340"/>
      <c r="Z4003" s="340"/>
      <c r="AE4003" s="340"/>
      <c r="AI4003" s="340"/>
      <c r="AN4003" s="340"/>
      <c r="AO4003" s="340"/>
      <c r="AS4003" s="340"/>
      <c r="AX4003" s="340"/>
      <c r="BB4003" s="340"/>
      <c r="BD4003" s="339"/>
    </row>
    <row r="4004" spans="7:56" s="338" customFormat="1">
      <c r="G4004" s="340"/>
      <c r="L4004" s="340"/>
      <c r="P4004" s="340"/>
      <c r="U4004" s="340"/>
      <c r="V4004" s="340"/>
      <c r="Z4004" s="340"/>
      <c r="AE4004" s="340"/>
      <c r="AI4004" s="340"/>
      <c r="AN4004" s="340"/>
      <c r="AO4004" s="340"/>
      <c r="AS4004" s="340"/>
      <c r="AX4004" s="340"/>
      <c r="BB4004" s="340"/>
      <c r="BD4004" s="339"/>
    </row>
    <row r="4005" spans="7:56" s="338" customFormat="1">
      <c r="G4005" s="340"/>
      <c r="L4005" s="340"/>
      <c r="P4005" s="340"/>
      <c r="U4005" s="340"/>
      <c r="V4005" s="340"/>
      <c r="Z4005" s="340"/>
      <c r="AE4005" s="340"/>
      <c r="AI4005" s="340"/>
      <c r="AN4005" s="340"/>
      <c r="AO4005" s="340"/>
      <c r="AS4005" s="340"/>
      <c r="AX4005" s="340"/>
      <c r="BB4005" s="340"/>
      <c r="BD4005" s="339"/>
    </row>
    <row r="4006" spans="7:56" s="338" customFormat="1">
      <c r="G4006" s="340"/>
      <c r="L4006" s="340"/>
      <c r="P4006" s="340"/>
      <c r="U4006" s="340"/>
      <c r="V4006" s="340"/>
      <c r="Z4006" s="340"/>
      <c r="AE4006" s="340"/>
      <c r="AI4006" s="340"/>
      <c r="AN4006" s="340"/>
      <c r="AO4006" s="340"/>
      <c r="AS4006" s="340"/>
      <c r="AX4006" s="340"/>
      <c r="BB4006" s="340"/>
      <c r="BD4006" s="339"/>
    </row>
    <row r="4007" spans="7:56" s="338" customFormat="1">
      <c r="G4007" s="340"/>
      <c r="L4007" s="340"/>
      <c r="P4007" s="340"/>
      <c r="U4007" s="340"/>
      <c r="V4007" s="340"/>
      <c r="Z4007" s="340"/>
      <c r="AE4007" s="340"/>
      <c r="AI4007" s="340"/>
      <c r="AN4007" s="340"/>
      <c r="AO4007" s="340"/>
      <c r="AS4007" s="340"/>
      <c r="AX4007" s="340"/>
      <c r="BB4007" s="340"/>
      <c r="BD4007" s="339"/>
    </row>
    <row r="4008" spans="7:56" s="338" customFormat="1">
      <c r="G4008" s="340"/>
      <c r="L4008" s="340"/>
      <c r="P4008" s="340"/>
      <c r="U4008" s="340"/>
      <c r="V4008" s="340"/>
      <c r="Z4008" s="340"/>
      <c r="AE4008" s="340"/>
      <c r="AI4008" s="340"/>
      <c r="AN4008" s="340"/>
      <c r="AO4008" s="340"/>
      <c r="AS4008" s="340"/>
      <c r="AX4008" s="340"/>
      <c r="BB4008" s="340"/>
      <c r="BD4008" s="339"/>
    </row>
    <row r="4009" spans="7:56" s="338" customFormat="1">
      <c r="G4009" s="340"/>
      <c r="L4009" s="340"/>
      <c r="P4009" s="340"/>
      <c r="U4009" s="340"/>
      <c r="V4009" s="340"/>
      <c r="Z4009" s="340"/>
      <c r="AE4009" s="340"/>
      <c r="AI4009" s="340"/>
      <c r="AN4009" s="340"/>
      <c r="AO4009" s="340"/>
      <c r="AS4009" s="340"/>
      <c r="AX4009" s="340"/>
      <c r="BB4009" s="340"/>
      <c r="BD4009" s="339"/>
    </row>
    <row r="4010" spans="7:56" s="338" customFormat="1">
      <c r="G4010" s="340"/>
      <c r="L4010" s="340"/>
      <c r="P4010" s="340"/>
      <c r="U4010" s="340"/>
      <c r="V4010" s="340"/>
      <c r="Z4010" s="340"/>
      <c r="AE4010" s="340"/>
      <c r="AI4010" s="340"/>
      <c r="AN4010" s="340"/>
      <c r="AO4010" s="340"/>
      <c r="AS4010" s="340"/>
      <c r="AX4010" s="340"/>
      <c r="BB4010" s="340"/>
      <c r="BD4010" s="339"/>
    </row>
    <row r="4011" spans="7:56" s="338" customFormat="1">
      <c r="G4011" s="340"/>
      <c r="L4011" s="340"/>
      <c r="P4011" s="340"/>
      <c r="U4011" s="340"/>
      <c r="V4011" s="340"/>
      <c r="Z4011" s="340"/>
      <c r="AE4011" s="340"/>
      <c r="AI4011" s="340"/>
      <c r="AN4011" s="340"/>
      <c r="AO4011" s="340"/>
      <c r="AS4011" s="340"/>
      <c r="AX4011" s="340"/>
      <c r="BB4011" s="340"/>
      <c r="BD4011" s="339"/>
    </row>
    <row r="4012" spans="7:56" s="338" customFormat="1">
      <c r="G4012" s="340"/>
      <c r="L4012" s="340"/>
      <c r="P4012" s="340"/>
      <c r="U4012" s="340"/>
      <c r="V4012" s="340"/>
      <c r="Z4012" s="340"/>
      <c r="AE4012" s="340"/>
      <c r="AI4012" s="340"/>
      <c r="AN4012" s="340"/>
      <c r="AO4012" s="340"/>
      <c r="AS4012" s="340"/>
      <c r="AX4012" s="340"/>
      <c r="BB4012" s="340"/>
      <c r="BD4012" s="339"/>
    </row>
    <row r="4013" spans="7:56" s="338" customFormat="1">
      <c r="G4013" s="340"/>
      <c r="L4013" s="340"/>
      <c r="P4013" s="340"/>
      <c r="U4013" s="340"/>
      <c r="V4013" s="340"/>
      <c r="Z4013" s="340"/>
      <c r="AE4013" s="340"/>
      <c r="AI4013" s="340"/>
      <c r="AN4013" s="340"/>
      <c r="AO4013" s="340"/>
      <c r="AS4013" s="340"/>
      <c r="AX4013" s="340"/>
      <c r="BB4013" s="340"/>
      <c r="BD4013" s="339"/>
    </row>
    <row r="4014" spans="7:56" s="338" customFormat="1">
      <c r="G4014" s="340"/>
      <c r="L4014" s="340"/>
      <c r="P4014" s="340"/>
      <c r="U4014" s="340"/>
      <c r="V4014" s="340"/>
      <c r="Z4014" s="340"/>
      <c r="AE4014" s="340"/>
      <c r="AI4014" s="340"/>
      <c r="AN4014" s="340"/>
      <c r="AO4014" s="340"/>
      <c r="AS4014" s="340"/>
      <c r="AX4014" s="340"/>
      <c r="BB4014" s="340"/>
      <c r="BD4014" s="339"/>
    </row>
    <row r="4015" spans="7:56" s="338" customFormat="1">
      <c r="G4015" s="340"/>
      <c r="L4015" s="340"/>
      <c r="P4015" s="340"/>
      <c r="U4015" s="340"/>
      <c r="V4015" s="340"/>
      <c r="Z4015" s="340"/>
      <c r="AE4015" s="340"/>
      <c r="AI4015" s="340"/>
      <c r="AN4015" s="340"/>
      <c r="AO4015" s="340"/>
      <c r="AS4015" s="340"/>
      <c r="AX4015" s="340"/>
      <c r="BB4015" s="340"/>
      <c r="BD4015" s="339"/>
    </row>
    <row r="4016" spans="7:56" s="338" customFormat="1">
      <c r="G4016" s="340"/>
      <c r="L4016" s="340"/>
      <c r="P4016" s="340"/>
      <c r="U4016" s="340"/>
      <c r="V4016" s="340"/>
      <c r="Z4016" s="340"/>
      <c r="AE4016" s="340"/>
      <c r="AI4016" s="340"/>
      <c r="AN4016" s="340"/>
      <c r="AO4016" s="340"/>
      <c r="AS4016" s="340"/>
      <c r="AX4016" s="340"/>
      <c r="BB4016" s="340"/>
      <c r="BD4016" s="339"/>
    </row>
    <row r="4017" spans="7:56" s="338" customFormat="1">
      <c r="G4017" s="340"/>
      <c r="L4017" s="340"/>
      <c r="P4017" s="340"/>
      <c r="U4017" s="340"/>
      <c r="V4017" s="340"/>
      <c r="Z4017" s="340"/>
      <c r="AE4017" s="340"/>
      <c r="AI4017" s="340"/>
      <c r="AN4017" s="340"/>
      <c r="AO4017" s="340"/>
      <c r="AS4017" s="340"/>
      <c r="AX4017" s="340"/>
      <c r="BB4017" s="340"/>
      <c r="BD4017" s="339"/>
    </row>
    <row r="4018" spans="7:56" s="338" customFormat="1">
      <c r="G4018" s="340"/>
      <c r="L4018" s="340"/>
      <c r="P4018" s="340"/>
      <c r="U4018" s="340"/>
      <c r="V4018" s="340"/>
      <c r="Z4018" s="340"/>
      <c r="AE4018" s="340"/>
      <c r="AI4018" s="340"/>
      <c r="AN4018" s="340"/>
      <c r="AO4018" s="340"/>
      <c r="AS4018" s="340"/>
      <c r="AX4018" s="340"/>
      <c r="BB4018" s="340"/>
      <c r="BD4018" s="339"/>
    </row>
    <row r="4019" spans="7:56" s="338" customFormat="1">
      <c r="G4019" s="340"/>
      <c r="L4019" s="340"/>
      <c r="P4019" s="340"/>
      <c r="U4019" s="340"/>
      <c r="V4019" s="340"/>
      <c r="Z4019" s="340"/>
      <c r="AE4019" s="340"/>
      <c r="AI4019" s="340"/>
      <c r="AN4019" s="340"/>
      <c r="AO4019" s="340"/>
      <c r="AS4019" s="340"/>
      <c r="AX4019" s="340"/>
      <c r="BB4019" s="340"/>
      <c r="BD4019" s="339"/>
    </row>
    <row r="4020" spans="7:56" s="338" customFormat="1">
      <c r="G4020" s="340"/>
      <c r="L4020" s="340"/>
      <c r="P4020" s="340"/>
      <c r="U4020" s="340"/>
      <c r="V4020" s="340"/>
      <c r="Z4020" s="340"/>
      <c r="AE4020" s="340"/>
      <c r="AI4020" s="340"/>
      <c r="AN4020" s="340"/>
      <c r="AO4020" s="340"/>
      <c r="AS4020" s="340"/>
      <c r="AX4020" s="340"/>
      <c r="BB4020" s="340"/>
      <c r="BD4020" s="339"/>
    </row>
    <row r="4021" spans="7:56" s="338" customFormat="1">
      <c r="G4021" s="340"/>
      <c r="L4021" s="340"/>
      <c r="P4021" s="340"/>
      <c r="U4021" s="340"/>
      <c r="V4021" s="340"/>
      <c r="Z4021" s="340"/>
      <c r="AE4021" s="340"/>
      <c r="AI4021" s="340"/>
      <c r="AN4021" s="340"/>
      <c r="AO4021" s="340"/>
      <c r="AS4021" s="340"/>
      <c r="AX4021" s="340"/>
      <c r="BB4021" s="340"/>
      <c r="BD4021" s="339"/>
    </row>
    <row r="4022" spans="7:56" s="338" customFormat="1">
      <c r="G4022" s="340"/>
      <c r="L4022" s="340"/>
      <c r="P4022" s="340"/>
      <c r="U4022" s="340"/>
      <c r="V4022" s="340"/>
      <c r="Z4022" s="340"/>
      <c r="AE4022" s="340"/>
      <c r="AI4022" s="340"/>
      <c r="AN4022" s="340"/>
      <c r="AO4022" s="340"/>
      <c r="AS4022" s="340"/>
      <c r="AX4022" s="340"/>
      <c r="BB4022" s="340"/>
      <c r="BD4022" s="339"/>
    </row>
    <row r="4023" spans="7:56" s="338" customFormat="1">
      <c r="G4023" s="340"/>
      <c r="L4023" s="340"/>
      <c r="P4023" s="340"/>
      <c r="U4023" s="340"/>
      <c r="V4023" s="340"/>
      <c r="Z4023" s="340"/>
      <c r="AE4023" s="340"/>
      <c r="AI4023" s="340"/>
      <c r="AN4023" s="340"/>
      <c r="AO4023" s="340"/>
      <c r="AS4023" s="340"/>
      <c r="AX4023" s="340"/>
      <c r="BB4023" s="340"/>
      <c r="BD4023" s="339"/>
    </row>
    <row r="4024" spans="7:56" s="338" customFormat="1">
      <c r="G4024" s="340"/>
      <c r="L4024" s="340"/>
      <c r="P4024" s="340"/>
      <c r="U4024" s="340"/>
      <c r="V4024" s="340"/>
      <c r="Z4024" s="340"/>
      <c r="AE4024" s="340"/>
      <c r="AI4024" s="340"/>
      <c r="AN4024" s="340"/>
      <c r="AO4024" s="340"/>
      <c r="AS4024" s="340"/>
      <c r="AX4024" s="340"/>
      <c r="BB4024" s="340"/>
      <c r="BD4024" s="339"/>
    </row>
    <row r="4025" spans="7:56" s="338" customFormat="1">
      <c r="G4025" s="340"/>
      <c r="L4025" s="340"/>
      <c r="P4025" s="340"/>
      <c r="U4025" s="340"/>
      <c r="V4025" s="340"/>
      <c r="Z4025" s="340"/>
      <c r="AE4025" s="340"/>
      <c r="AI4025" s="340"/>
      <c r="AN4025" s="340"/>
      <c r="AO4025" s="340"/>
      <c r="AS4025" s="340"/>
      <c r="AX4025" s="340"/>
      <c r="BB4025" s="340"/>
      <c r="BD4025" s="339"/>
    </row>
    <row r="4026" spans="7:56" s="338" customFormat="1">
      <c r="G4026" s="340"/>
      <c r="L4026" s="340"/>
      <c r="P4026" s="340"/>
      <c r="U4026" s="340"/>
      <c r="V4026" s="340"/>
      <c r="Z4026" s="340"/>
      <c r="AE4026" s="340"/>
      <c r="AI4026" s="340"/>
      <c r="AN4026" s="340"/>
      <c r="AO4026" s="340"/>
      <c r="AS4026" s="340"/>
      <c r="AX4026" s="340"/>
      <c r="BB4026" s="340"/>
      <c r="BD4026" s="339"/>
    </row>
    <row r="4027" spans="7:56" s="338" customFormat="1">
      <c r="G4027" s="340"/>
      <c r="L4027" s="340"/>
      <c r="P4027" s="340"/>
      <c r="U4027" s="340"/>
      <c r="V4027" s="340"/>
      <c r="Z4027" s="340"/>
      <c r="AE4027" s="340"/>
      <c r="AI4027" s="340"/>
      <c r="AN4027" s="340"/>
      <c r="AO4027" s="340"/>
      <c r="AS4027" s="340"/>
      <c r="AX4027" s="340"/>
      <c r="BB4027" s="340"/>
      <c r="BD4027" s="339"/>
    </row>
    <row r="4028" spans="7:56" s="338" customFormat="1">
      <c r="G4028" s="340"/>
      <c r="L4028" s="340"/>
      <c r="P4028" s="340"/>
      <c r="U4028" s="340"/>
      <c r="V4028" s="340"/>
      <c r="Z4028" s="340"/>
      <c r="AE4028" s="340"/>
      <c r="AI4028" s="340"/>
      <c r="AN4028" s="340"/>
      <c r="AO4028" s="340"/>
      <c r="AS4028" s="340"/>
      <c r="AX4028" s="340"/>
      <c r="BB4028" s="340"/>
      <c r="BD4028" s="339"/>
    </row>
    <row r="4029" spans="7:56" s="338" customFormat="1">
      <c r="G4029" s="340"/>
      <c r="L4029" s="340"/>
      <c r="P4029" s="340"/>
      <c r="U4029" s="340"/>
      <c r="V4029" s="340"/>
      <c r="Z4029" s="340"/>
      <c r="AE4029" s="340"/>
      <c r="AI4029" s="340"/>
      <c r="AN4029" s="340"/>
      <c r="AO4029" s="340"/>
      <c r="AS4029" s="340"/>
      <c r="AX4029" s="340"/>
      <c r="BB4029" s="340"/>
      <c r="BD4029" s="339"/>
    </row>
    <row r="4030" spans="7:56" s="338" customFormat="1">
      <c r="G4030" s="340"/>
      <c r="L4030" s="340"/>
      <c r="P4030" s="340"/>
      <c r="U4030" s="340"/>
      <c r="V4030" s="340"/>
      <c r="Z4030" s="340"/>
      <c r="AE4030" s="340"/>
      <c r="AI4030" s="340"/>
      <c r="AN4030" s="340"/>
      <c r="AO4030" s="340"/>
      <c r="AS4030" s="340"/>
      <c r="AX4030" s="340"/>
      <c r="BB4030" s="340"/>
      <c r="BD4030" s="339"/>
    </row>
    <row r="4031" spans="7:56" s="338" customFormat="1">
      <c r="G4031" s="340"/>
      <c r="L4031" s="340"/>
      <c r="P4031" s="340"/>
      <c r="U4031" s="340"/>
      <c r="V4031" s="340"/>
      <c r="Z4031" s="340"/>
      <c r="AE4031" s="340"/>
      <c r="AI4031" s="340"/>
      <c r="AN4031" s="340"/>
      <c r="AO4031" s="340"/>
      <c r="AS4031" s="340"/>
      <c r="AX4031" s="340"/>
      <c r="BB4031" s="340"/>
      <c r="BD4031" s="339"/>
    </row>
    <row r="4032" spans="7:56" s="338" customFormat="1">
      <c r="G4032" s="340"/>
      <c r="L4032" s="340"/>
      <c r="P4032" s="340"/>
      <c r="U4032" s="340"/>
      <c r="V4032" s="340"/>
      <c r="Z4032" s="340"/>
      <c r="AE4032" s="340"/>
      <c r="AI4032" s="340"/>
      <c r="AN4032" s="340"/>
      <c r="AO4032" s="340"/>
      <c r="AS4032" s="340"/>
      <c r="AX4032" s="340"/>
      <c r="BB4032" s="340"/>
      <c r="BD4032" s="339"/>
    </row>
    <row r="4033" spans="7:56" s="338" customFormat="1">
      <c r="G4033" s="340"/>
      <c r="L4033" s="340"/>
      <c r="P4033" s="340"/>
      <c r="U4033" s="340"/>
      <c r="V4033" s="340"/>
      <c r="Z4033" s="340"/>
      <c r="AE4033" s="340"/>
      <c r="AI4033" s="340"/>
      <c r="AN4033" s="340"/>
      <c r="AO4033" s="340"/>
      <c r="AS4033" s="340"/>
      <c r="AX4033" s="340"/>
      <c r="BB4033" s="340"/>
      <c r="BD4033" s="339"/>
    </row>
    <row r="4034" spans="7:56" s="338" customFormat="1">
      <c r="G4034" s="340"/>
      <c r="L4034" s="340"/>
      <c r="P4034" s="340"/>
      <c r="U4034" s="340"/>
      <c r="V4034" s="340"/>
      <c r="Z4034" s="340"/>
      <c r="AE4034" s="340"/>
      <c r="AI4034" s="340"/>
      <c r="AN4034" s="340"/>
      <c r="AO4034" s="340"/>
      <c r="AS4034" s="340"/>
      <c r="AX4034" s="340"/>
      <c r="BB4034" s="340"/>
      <c r="BD4034" s="339"/>
    </row>
    <row r="4035" spans="7:56" s="338" customFormat="1">
      <c r="G4035" s="340"/>
      <c r="L4035" s="340"/>
      <c r="P4035" s="340"/>
      <c r="U4035" s="340"/>
      <c r="V4035" s="340"/>
      <c r="Z4035" s="340"/>
      <c r="AE4035" s="340"/>
      <c r="AI4035" s="340"/>
      <c r="AN4035" s="340"/>
      <c r="AO4035" s="340"/>
      <c r="AS4035" s="340"/>
      <c r="AX4035" s="340"/>
      <c r="BB4035" s="340"/>
      <c r="BD4035" s="339"/>
    </row>
    <row r="4036" spans="7:56" s="338" customFormat="1">
      <c r="G4036" s="340"/>
      <c r="L4036" s="340"/>
      <c r="P4036" s="340"/>
      <c r="U4036" s="340"/>
      <c r="V4036" s="340"/>
      <c r="Z4036" s="340"/>
      <c r="AE4036" s="340"/>
      <c r="AI4036" s="340"/>
      <c r="AN4036" s="340"/>
      <c r="AO4036" s="340"/>
      <c r="AS4036" s="340"/>
      <c r="AX4036" s="340"/>
      <c r="BB4036" s="340"/>
      <c r="BD4036" s="339"/>
    </row>
    <row r="4037" spans="7:56" s="338" customFormat="1">
      <c r="G4037" s="340"/>
      <c r="L4037" s="340"/>
      <c r="P4037" s="340"/>
      <c r="U4037" s="340"/>
      <c r="V4037" s="340"/>
      <c r="Z4037" s="340"/>
      <c r="AE4037" s="340"/>
      <c r="AI4037" s="340"/>
      <c r="AN4037" s="340"/>
      <c r="AO4037" s="340"/>
      <c r="AS4037" s="340"/>
      <c r="AX4037" s="340"/>
      <c r="BB4037" s="340"/>
      <c r="BD4037" s="339"/>
    </row>
    <row r="4038" spans="7:56" s="338" customFormat="1">
      <c r="G4038" s="340"/>
      <c r="L4038" s="340"/>
      <c r="P4038" s="340"/>
      <c r="U4038" s="340"/>
      <c r="V4038" s="340"/>
      <c r="Z4038" s="340"/>
      <c r="AE4038" s="340"/>
      <c r="AI4038" s="340"/>
      <c r="AN4038" s="340"/>
      <c r="AO4038" s="340"/>
      <c r="AS4038" s="340"/>
      <c r="AX4038" s="340"/>
      <c r="BB4038" s="340"/>
      <c r="BD4038" s="339"/>
    </row>
    <row r="4039" spans="7:56" s="338" customFormat="1">
      <c r="G4039" s="340"/>
      <c r="L4039" s="340"/>
      <c r="P4039" s="340"/>
      <c r="U4039" s="340"/>
      <c r="V4039" s="340"/>
      <c r="Z4039" s="340"/>
      <c r="AE4039" s="340"/>
      <c r="AI4039" s="340"/>
      <c r="AN4039" s="340"/>
      <c r="AO4039" s="340"/>
      <c r="AS4039" s="340"/>
      <c r="AX4039" s="340"/>
      <c r="BB4039" s="340"/>
      <c r="BD4039" s="339"/>
    </row>
    <row r="4040" spans="7:56" s="338" customFormat="1">
      <c r="G4040" s="340"/>
      <c r="L4040" s="340"/>
      <c r="P4040" s="340"/>
      <c r="U4040" s="340"/>
      <c r="V4040" s="340"/>
      <c r="Z4040" s="340"/>
      <c r="AE4040" s="340"/>
      <c r="AI4040" s="340"/>
      <c r="AN4040" s="340"/>
      <c r="AO4040" s="340"/>
      <c r="AS4040" s="340"/>
      <c r="AX4040" s="340"/>
      <c r="BB4040" s="340"/>
      <c r="BD4040" s="339"/>
    </row>
    <row r="4041" spans="7:56" s="338" customFormat="1">
      <c r="G4041" s="340"/>
      <c r="L4041" s="340"/>
      <c r="P4041" s="340"/>
      <c r="U4041" s="340"/>
      <c r="V4041" s="340"/>
      <c r="Z4041" s="340"/>
      <c r="AE4041" s="340"/>
      <c r="AI4041" s="340"/>
      <c r="AN4041" s="340"/>
      <c r="AO4041" s="340"/>
      <c r="AS4041" s="340"/>
      <c r="AX4041" s="340"/>
      <c r="BB4041" s="340"/>
      <c r="BD4041" s="339"/>
    </row>
    <row r="4042" spans="7:56" s="338" customFormat="1">
      <c r="G4042" s="340"/>
      <c r="L4042" s="340"/>
      <c r="P4042" s="340"/>
      <c r="U4042" s="340"/>
      <c r="V4042" s="340"/>
      <c r="Z4042" s="340"/>
      <c r="AE4042" s="340"/>
      <c r="AI4042" s="340"/>
      <c r="AN4042" s="340"/>
      <c r="AO4042" s="340"/>
      <c r="AS4042" s="340"/>
      <c r="AX4042" s="340"/>
      <c r="BB4042" s="340"/>
      <c r="BD4042" s="339"/>
    </row>
    <row r="4043" spans="7:56" s="338" customFormat="1">
      <c r="G4043" s="340"/>
      <c r="L4043" s="340"/>
      <c r="P4043" s="340"/>
      <c r="U4043" s="340"/>
      <c r="V4043" s="340"/>
      <c r="Z4043" s="340"/>
      <c r="AE4043" s="340"/>
      <c r="AI4043" s="340"/>
      <c r="AN4043" s="340"/>
      <c r="AO4043" s="340"/>
      <c r="AS4043" s="340"/>
      <c r="AX4043" s="340"/>
      <c r="BB4043" s="340"/>
      <c r="BD4043" s="339"/>
    </row>
    <row r="4044" spans="7:56" s="338" customFormat="1">
      <c r="G4044" s="340"/>
      <c r="L4044" s="340"/>
      <c r="P4044" s="340"/>
      <c r="U4044" s="340"/>
      <c r="V4044" s="340"/>
      <c r="Z4044" s="340"/>
      <c r="AE4044" s="340"/>
      <c r="AI4044" s="340"/>
      <c r="AN4044" s="340"/>
      <c r="AO4044" s="340"/>
      <c r="AS4044" s="340"/>
      <c r="AX4044" s="340"/>
      <c r="BB4044" s="340"/>
      <c r="BD4044" s="339"/>
    </row>
    <row r="4045" spans="7:56" s="338" customFormat="1">
      <c r="G4045" s="340"/>
      <c r="L4045" s="340"/>
      <c r="P4045" s="340"/>
      <c r="U4045" s="340"/>
      <c r="V4045" s="340"/>
      <c r="Z4045" s="340"/>
      <c r="AE4045" s="340"/>
      <c r="AI4045" s="340"/>
      <c r="AN4045" s="340"/>
      <c r="AO4045" s="340"/>
      <c r="AS4045" s="340"/>
      <c r="AX4045" s="340"/>
      <c r="BB4045" s="340"/>
      <c r="BD4045" s="339"/>
    </row>
    <row r="4046" spans="7:56" s="338" customFormat="1">
      <c r="G4046" s="340"/>
      <c r="L4046" s="340"/>
      <c r="P4046" s="340"/>
      <c r="U4046" s="340"/>
      <c r="V4046" s="340"/>
      <c r="Z4046" s="340"/>
      <c r="AE4046" s="340"/>
      <c r="AI4046" s="340"/>
      <c r="AN4046" s="340"/>
      <c r="AO4046" s="340"/>
      <c r="AS4046" s="340"/>
      <c r="AX4046" s="340"/>
      <c r="BB4046" s="340"/>
      <c r="BD4046" s="339"/>
    </row>
    <row r="4047" spans="7:56" s="338" customFormat="1">
      <c r="G4047" s="340"/>
      <c r="L4047" s="340"/>
      <c r="P4047" s="340"/>
      <c r="U4047" s="340"/>
      <c r="V4047" s="340"/>
      <c r="Z4047" s="340"/>
      <c r="AE4047" s="340"/>
      <c r="AI4047" s="340"/>
      <c r="AN4047" s="340"/>
      <c r="AO4047" s="340"/>
      <c r="AS4047" s="340"/>
      <c r="AX4047" s="340"/>
      <c r="BB4047" s="340"/>
      <c r="BD4047" s="339"/>
    </row>
    <row r="4048" spans="7:56" s="338" customFormat="1">
      <c r="G4048" s="340"/>
      <c r="L4048" s="340"/>
      <c r="P4048" s="340"/>
      <c r="U4048" s="340"/>
      <c r="V4048" s="340"/>
      <c r="Z4048" s="340"/>
      <c r="AE4048" s="340"/>
      <c r="AI4048" s="340"/>
      <c r="AN4048" s="340"/>
      <c r="AO4048" s="340"/>
      <c r="AS4048" s="340"/>
      <c r="AX4048" s="340"/>
      <c r="BB4048" s="340"/>
      <c r="BD4048" s="339"/>
    </row>
    <row r="4049" spans="7:56" s="338" customFormat="1">
      <c r="G4049" s="340"/>
      <c r="L4049" s="340"/>
      <c r="P4049" s="340"/>
      <c r="U4049" s="340"/>
      <c r="V4049" s="340"/>
      <c r="Z4049" s="340"/>
      <c r="AE4049" s="340"/>
      <c r="AI4049" s="340"/>
      <c r="AN4049" s="340"/>
      <c r="AO4049" s="340"/>
      <c r="AS4049" s="340"/>
      <c r="AX4049" s="340"/>
      <c r="BB4049" s="340"/>
      <c r="BD4049" s="339"/>
    </row>
    <row r="4050" spans="7:56" s="338" customFormat="1">
      <c r="G4050" s="340"/>
      <c r="L4050" s="340"/>
      <c r="P4050" s="340"/>
      <c r="U4050" s="340"/>
      <c r="V4050" s="340"/>
      <c r="Z4050" s="340"/>
      <c r="AE4050" s="340"/>
      <c r="AI4050" s="340"/>
      <c r="AN4050" s="340"/>
      <c r="AO4050" s="340"/>
      <c r="AS4050" s="340"/>
      <c r="AX4050" s="340"/>
      <c r="BB4050" s="340"/>
      <c r="BD4050" s="339"/>
    </row>
    <row r="4051" spans="7:56" s="338" customFormat="1">
      <c r="G4051" s="340"/>
      <c r="L4051" s="340"/>
      <c r="P4051" s="340"/>
      <c r="U4051" s="340"/>
      <c r="V4051" s="340"/>
      <c r="Z4051" s="340"/>
      <c r="AE4051" s="340"/>
      <c r="AI4051" s="340"/>
      <c r="AN4051" s="340"/>
      <c r="AO4051" s="340"/>
      <c r="AS4051" s="340"/>
      <c r="AX4051" s="340"/>
      <c r="BB4051" s="340"/>
      <c r="BD4051" s="339"/>
    </row>
    <row r="4052" spans="7:56" s="338" customFormat="1">
      <c r="G4052" s="340"/>
      <c r="L4052" s="340"/>
      <c r="P4052" s="340"/>
      <c r="U4052" s="340"/>
      <c r="V4052" s="340"/>
      <c r="Z4052" s="340"/>
      <c r="AE4052" s="340"/>
      <c r="AI4052" s="340"/>
      <c r="AN4052" s="340"/>
      <c r="AO4052" s="340"/>
      <c r="AS4052" s="340"/>
      <c r="AX4052" s="340"/>
      <c r="BB4052" s="340"/>
      <c r="BD4052" s="339"/>
    </row>
    <row r="4053" spans="7:56" s="338" customFormat="1">
      <c r="G4053" s="340"/>
      <c r="L4053" s="340"/>
      <c r="P4053" s="340"/>
      <c r="U4053" s="340"/>
      <c r="V4053" s="340"/>
      <c r="Z4053" s="340"/>
      <c r="AE4053" s="340"/>
      <c r="AI4053" s="340"/>
      <c r="AN4053" s="340"/>
      <c r="AO4053" s="340"/>
      <c r="AS4053" s="340"/>
      <c r="AX4053" s="340"/>
      <c r="BB4053" s="340"/>
      <c r="BD4053" s="339"/>
    </row>
    <row r="4054" spans="7:56" s="338" customFormat="1">
      <c r="G4054" s="340"/>
      <c r="L4054" s="340"/>
      <c r="P4054" s="340"/>
      <c r="U4054" s="340"/>
      <c r="V4054" s="340"/>
      <c r="Z4054" s="340"/>
      <c r="AE4054" s="340"/>
      <c r="AI4054" s="340"/>
      <c r="AN4054" s="340"/>
      <c r="AO4054" s="340"/>
      <c r="AS4054" s="340"/>
      <c r="AX4054" s="340"/>
      <c r="BB4054" s="340"/>
      <c r="BD4054" s="339"/>
    </row>
    <row r="4055" spans="7:56" s="338" customFormat="1">
      <c r="G4055" s="340"/>
      <c r="L4055" s="340"/>
      <c r="P4055" s="340"/>
      <c r="U4055" s="340"/>
      <c r="V4055" s="340"/>
      <c r="Z4055" s="340"/>
      <c r="AE4055" s="340"/>
      <c r="AI4055" s="340"/>
      <c r="AN4055" s="340"/>
      <c r="AO4055" s="340"/>
      <c r="AS4055" s="340"/>
      <c r="AX4055" s="340"/>
      <c r="BB4055" s="340"/>
      <c r="BD4055" s="339"/>
    </row>
    <row r="4056" spans="7:56" s="338" customFormat="1">
      <c r="G4056" s="340"/>
      <c r="L4056" s="340"/>
      <c r="P4056" s="340"/>
      <c r="U4056" s="340"/>
      <c r="V4056" s="340"/>
      <c r="Z4056" s="340"/>
      <c r="AE4056" s="340"/>
      <c r="AI4056" s="340"/>
      <c r="AN4056" s="340"/>
      <c r="AO4056" s="340"/>
      <c r="AS4056" s="340"/>
      <c r="AX4056" s="340"/>
      <c r="BB4056" s="340"/>
      <c r="BD4056" s="339"/>
    </row>
    <row r="4057" spans="7:56" s="338" customFormat="1">
      <c r="G4057" s="340"/>
      <c r="L4057" s="340"/>
      <c r="P4057" s="340"/>
      <c r="U4057" s="340"/>
      <c r="V4057" s="340"/>
      <c r="Z4057" s="340"/>
      <c r="AE4057" s="340"/>
      <c r="AI4057" s="340"/>
      <c r="AN4057" s="340"/>
      <c r="AO4057" s="340"/>
      <c r="AS4057" s="340"/>
      <c r="AX4057" s="340"/>
      <c r="BB4057" s="340"/>
      <c r="BD4057" s="339"/>
    </row>
    <row r="4058" spans="7:56" s="338" customFormat="1">
      <c r="G4058" s="340"/>
      <c r="L4058" s="340"/>
      <c r="P4058" s="340"/>
      <c r="U4058" s="340"/>
      <c r="V4058" s="340"/>
      <c r="Z4058" s="340"/>
      <c r="AE4058" s="340"/>
      <c r="AI4058" s="340"/>
      <c r="AN4058" s="340"/>
      <c r="AO4058" s="340"/>
      <c r="AS4058" s="340"/>
      <c r="AX4058" s="340"/>
      <c r="BB4058" s="340"/>
      <c r="BD4058" s="339"/>
    </row>
    <row r="4059" spans="7:56" s="338" customFormat="1">
      <c r="G4059" s="340"/>
      <c r="L4059" s="340"/>
      <c r="P4059" s="340"/>
      <c r="U4059" s="340"/>
      <c r="V4059" s="340"/>
      <c r="Z4059" s="340"/>
      <c r="AE4059" s="340"/>
      <c r="AI4059" s="340"/>
      <c r="AN4059" s="340"/>
      <c r="AO4059" s="340"/>
      <c r="AS4059" s="340"/>
      <c r="AX4059" s="340"/>
      <c r="BB4059" s="340"/>
      <c r="BD4059" s="339"/>
    </row>
    <row r="4060" spans="7:56" s="338" customFormat="1">
      <c r="G4060" s="340"/>
      <c r="L4060" s="340"/>
      <c r="P4060" s="340"/>
      <c r="U4060" s="340"/>
      <c r="V4060" s="340"/>
      <c r="Z4060" s="340"/>
      <c r="AE4060" s="340"/>
      <c r="AI4060" s="340"/>
      <c r="AN4060" s="340"/>
      <c r="AO4060" s="340"/>
      <c r="AS4060" s="340"/>
      <c r="AX4060" s="340"/>
      <c r="BB4060" s="340"/>
      <c r="BD4060" s="339"/>
    </row>
    <row r="4061" spans="7:56" s="338" customFormat="1">
      <c r="G4061" s="340"/>
      <c r="L4061" s="340"/>
      <c r="P4061" s="340"/>
      <c r="U4061" s="340"/>
      <c r="V4061" s="340"/>
      <c r="Z4061" s="340"/>
      <c r="AE4061" s="340"/>
      <c r="AI4061" s="340"/>
      <c r="AN4061" s="340"/>
      <c r="AO4061" s="340"/>
      <c r="AS4061" s="340"/>
      <c r="AX4061" s="340"/>
      <c r="BB4061" s="340"/>
      <c r="BD4061" s="339"/>
    </row>
    <row r="4062" spans="7:56" s="338" customFormat="1">
      <c r="G4062" s="340"/>
      <c r="L4062" s="340"/>
      <c r="P4062" s="340"/>
      <c r="U4062" s="340"/>
      <c r="V4062" s="340"/>
      <c r="Z4062" s="340"/>
      <c r="AE4062" s="340"/>
      <c r="AI4062" s="340"/>
      <c r="AN4062" s="340"/>
      <c r="AO4062" s="340"/>
      <c r="AS4062" s="340"/>
      <c r="AX4062" s="340"/>
      <c r="BB4062" s="340"/>
      <c r="BD4062" s="339"/>
    </row>
    <row r="4063" spans="7:56" s="338" customFormat="1">
      <c r="G4063" s="340"/>
      <c r="L4063" s="340"/>
      <c r="P4063" s="340"/>
      <c r="U4063" s="340"/>
      <c r="V4063" s="340"/>
      <c r="Z4063" s="340"/>
      <c r="AE4063" s="340"/>
      <c r="AI4063" s="340"/>
      <c r="AN4063" s="340"/>
      <c r="AO4063" s="340"/>
      <c r="AS4063" s="340"/>
      <c r="AX4063" s="340"/>
      <c r="BB4063" s="340"/>
      <c r="BD4063" s="339"/>
    </row>
    <row r="4064" spans="7:56" s="338" customFormat="1">
      <c r="G4064" s="340"/>
      <c r="L4064" s="340"/>
      <c r="P4064" s="340"/>
      <c r="U4064" s="340"/>
      <c r="V4064" s="340"/>
      <c r="Z4064" s="340"/>
      <c r="AE4064" s="340"/>
      <c r="AI4064" s="340"/>
      <c r="AN4064" s="340"/>
      <c r="AO4064" s="340"/>
      <c r="AS4064" s="340"/>
      <c r="AX4064" s="340"/>
      <c r="BB4064" s="340"/>
      <c r="BD4064" s="339"/>
    </row>
    <row r="4065" spans="7:56" s="338" customFormat="1">
      <c r="G4065" s="340"/>
      <c r="L4065" s="340"/>
      <c r="P4065" s="340"/>
      <c r="U4065" s="340"/>
      <c r="V4065" s="340"/>
      <c r="Z4065" s="340"/>
      <c r="AE4065" s="340"/>
      <c r="AI4065" s="340"/>
      <c r="AN4065" s="340"/>
      <c r="AO4065" s="340"/>
      <c r="AS4065" s="340"/>
      <c r="AX4065" s="340"/>
      <c r="BB4065" s="340"/>
      <c r="BD4065" s="339"/>
    </row>
    <row r="4066" spans="7:56" s="338" customFormat="1">
      <c r="G4066" s="340"/>
      <c r="L4066" s="340"/>
      <c r="P4066" s="340"/>
      <c r="U4066" s="340"/>
      <c r="V4066" s="340"/>
      <c r="Z4066" s="340"/>
      <c r="AE4066" s="340"/>
      <c r="AI4066" s="340"/>
      <c r="AN4066" s="340"/>
      <c r="AO4066" s="340"/>
      <c r="AS4066" s="340"/>
      <c r="AX4066" s="340"/>
      <c r="BB4066" s="340"/>
      <c r="BD4066" s="339"/>
    </row>
    <row r="4067" spans="7:56" s="338" customFormat="1">
      <c r="G4067" s="340"/>
      <c r="L4067" s="340"/>
      <c r="P4067" s="340"/>
      <c r="U4067" s="340"/>
      <c r="V4067" s="340"/>
      <c r="Z4067" s="340"/>
      <c r="AE4067" s="340"/>
      <c r="AI4067" s="340"/>
      <c r="AN4067" s="340"/>
      <c r="AO4067" s="340"/>
      <c r="AS4067" s="340"/>
      <c r="AX4067" s="340"/>
      <c r="BB4067" s="340"/>
      <c r="BD4067" s="339"/>
    </row>
    <row r="4068" spans="7:56" s="338" customFormat="1">
      <c r="G4068" s="340"/>
      <c r="L4068" s="340"/>
      <c r="P4068" s="340"/>
      <c r="U4068" s="340"/>
      <c r="V4068" s="340"/>
      <c r="Z4068" s="340"/>
      <c r="AE4068" s="340"/>
      <c r="AI4068" s="340"/>
      <c r="AN4068" s="340"/>
      <c r="AO4068" s="340"/>
      <c r="AS4068" s="340"/>
      <c r="AX4068" s="340"/>
      <c r="BB4068" s="340"/>
      <c r="BD4068" s="339"/>
    </row>
    <row r="4069" spans="7:56" s="338" customFormat="1">
      <c r="G4069" s="340"/>
      <c r="L4069" s="340"/>
      <c r="P4069" s="340"/>
      <c r="U4069" s="340"/>
      <c r="V4069" s="340"/>
      <c r="Z4069" s="340"/>
      <c r="AE4069" s="340"/>
      <c r="AI4069" s="340"/>
      <c r="AN4069" s="340"/>
      <c r="AO4069" s="340"/>
      <c r="AS4069" s="340"/>
      <c r="AX4069" s="340"/>
      <c r="BB4069" s="340"/>
      <c r="BD4069" s="339"/>
    </row>
    <row r="4070" spans="7:56" s="338" customFormat="1">
      <c r="G4070" s="340"/>
      <c r="L4070" s="340"/>
      <c r="P4070" s="340"/>
      <c r="U4070" s="340"/>
      <c r="V4070" s="340"/>
      <c r="Z4070" s="340"/>
      <c r="AE4070" s="340"/>
      <c r="AI4070" s="340"/>
      <c r="AN4070" s="340"/>
      <c r="AO4070" s="340"/>
      <c r="AS4070" s="340"/>
      <c r="AX4070" s="340"/>
      <c r="BB4070" s="340"/>
      <c r="BD4070" s="339"/>
    </row>
    <row r="4071" spans="7:56" s="338" customFormat="1">
      <c r="G4071" s="340"/>
      <c r="L4071" s="340"/>
      <c r="P4071" s="340"/>
      <c r="U4071" s="340"/>
      <c r="V4071" s="340"/>
      <c r="Z4071" s="340"/>
      <c r="AE4071" s="340"/>
      <c r="AI4071" s="340"/>
      <c r="AN4071" s="340"/>
      <c r="AO4071" s="340"/>
      <c r="AS4071" s="340"/>
      <c r="AX4071" s="340"/>
      <c r="BB4071" s="340"/>
      <c r="BD4071" s="339"/>
    </row>
    <row r="4072" spans="7:56" s="338" customFormat="1">
      <c r="G4072" s="340"/>
      <c r="L4072" s="340"/>
      <c r="P4072" s="340"/>
      <c r="U4072" s="340"/>
      <c r="V4072" s="340"/>
      <c r="Z4072" s="340"/>
      <c r="AE4072" s="340"/>
      <c r="AI4072" s="340"/>
      <c r="AN4072" s="340"/>
      <c r="AO4072" s="340"/>
      <c r="AS4072" s="340"/>
      <c r="AX4072" s="340"/>
      <c r="BB4072" s="340"/>
      <c r="BD4072" s="339"/>
    </row>
    <row r="4073" spans="7:56" s="338" customFormat="1">
      <c r="G4073" s="340"/>
      <c r="L4073" s="340"/>
      <c r="P4073" s="340"/>
      <c r="U4073" s="340"/>
      <c r="V4073" s="340"/>
      <c r="Z4073" s="340"/>
      <c r="AE4073" s="340"/>
      <c r="AI4073" s="340"/>
      <c r="AN4073" s="340"/>
      <c r="AO4073" s="340"/>
      <c r="AS4073" s="340"/>
      <c r="AX4073" s="340"/>
      <c r="BB4073" s="340"/>
      <c r="BD4073" s="339"/>
    </row>
    <row r="4074" spans="7:56" s="338" customFormat="1">
      <c r="G4074" s="340"/>
      <c r="L4074" s="340"/>
      <c r="P4074" s="340"/>
      <c r="U4074" s="340"/>
      <c r="V4074" s="340"/>
      <c r="Z4074" s="340"/>
      <c r="AE4074" s="340"/>
      <c r="AI4074" s="340"/>
      <c r="AN4074" s="340"/>
      <c r="AO4074" s="340"/>
      <c r="AS4074" s="340"/>
      <c r="AX4074" s="340"/>
      <c r="BB4074" s="340"/>
      <c r="BD4074" s="339"/>
    </row>
    <row r="4075" spans="7:56" s="338" customFormat="1">
      <c r="G4075" s="340"/>
      <c r="L4075" s="340"/>
      <c r="P4075" s="340"/>
      <c r="U4075" s="340"/>
      <c r="V4075" s="340"/>
      <c r="Z4075" s="340"/>
      <c r="AE4075" s="340"/>
      <c r="AI4075" s="340"/>
      <c r="AN4075" s="340"/>
      <c r="AO4075" s="340"/>
      <c r="AS4075" s="340"/>
      <c r="AX4075" s="340"/>
      <c r="BB4075" s="340"/>
      <c r="BD4075" s="339"/>
    </row>
    <row r="4076" spans="7:56" s="338" customFormat="1">
      <c r="G4076" s="340"/>
      <c r="L4076" s="340"/>
      <c r="P4076" s="340"/>
      <c r="U4076" s="340"/>
      <c r="V4076" s="340"/>
      <c r="Z4076" s="340"/>
      <c r="AE4076" s="340"/>
      <c r="AI4076" s="340"/>
      <c r="AN4076" s="340"/>
      <c r="AO4076" s="340"/>
      <c r="AS4076" s="340"/>
      <c r="AX4076" s="340"/>
      <c r="BB4076" s="340"/>
      <c r="BD4076" s="339"/>
    </row>
    <row r="4077" spans="7:56" s="338" customFormat="1">
      <c r="G4077" s="340"/>
      <c r="L4077" s="340"/>
      <c r="P4077" s="340"/>
      <c r="U4077" s="340"/>
      <c r="V4077" s="340"/>
      <c r="Z4077" s="340"/>
      <c r="AE4077" s="340"/>
      <c r="AI4077" s="340"/>
      <c r="AN4077" s="340"/>
      <c r="AO4077" s="340"/>
      <c r="AS4077" s="340"/>
      <c r="AX4077" s="340"/>
      <c r="BB4077" s="340"/>
      <c r="BD4077" s="339"/>
    </row>
    <row r="4078" spans="7:56" s="338" customFormat="1">
      <c r="G4078" s="340"/>
      <c r="L4078" s="340"/>
      <c r="P4078" s="340"/>
      <c r="U4078" s="340"/>
      <c r="V4078" s="340"/>
      <c r="Z4078" s="340"/>
      <c r="AE4078" s="340"/>
      <c r="AI4078" s="340"/>
      <c r="AN4078" s="340"/>
      <c r="AO4078" s="340"/>
      <c r="AS4078" s="340"/>
      <c r="AX4078" s="340"/>
      <c r="BB4078" s="340"/>
      <c r="BD4078" s="339"/>
    </row>
    <row r="4079" spans="7:56" s="338" customFormat="1">
      <c r="G4079" s="340"/>
      <c r="L4079" s="340"/>
      <c r="P4079" s="340"/>
      <c r="U4079" s="340"/>
      <c r="V4079" s="340"/>
      <c r="Z4079" s="340"/>
      <c r="AE4079" s="340"/>
      <c r="AI4079" s="340"/>
      <c r="AN4079" s="340"/>
      <c r="AO4079" s="340"/>
      <c r="AS4079" s="340"/>
      <c r="AX4079" s="340"/>
      <c r="BB4079" s="340"/>
      <c r="BD4079" s="339"/>
    </row>
    <row r="4080" spans="7:56" s="338" customFormat="1">
      <c r="G4080" s="340"/>
      <c r="L4080" s="340"/>
      <c r="P4080" s="340"/>
      <c r="U4080" s="340"/>
      <c r="V4080" s="340"/>
      <c r="Z4080" s="340"/>
      <c r="AE4080" s="340"/>
      <c r="AI4080" s="340"/>
      <c r="AN4080" s="340"/>
      <c r="AO4080" s="340"/>
      <c r="AS4080" s="340"/>
      <c r="AX4080" s="340"/>
      <c r="BB4080" s="340"/>
      <c r="BD4080" s="339"/>
    </row>
    <row r="4081" spans="7:56" s="338" customFormat="1">
      <c r="G4081" s="340"/>
      <c r="L4081" s="340"/>
      <c r="P4081" s="340"/>
      <c r="U4081" s="340"/>
      <c r="V4081" s="340"/>
      <c r="Z4081" s="340"/>
      <c r="AE4081" s="340"/>
      <c r="AI4081" s="340"/>
      <c r="AN4081" s="340"/>
      <c r="AO4081" s="340"/>
      <c r="AS4081" s="340"/>
      <c r="AX4081" s="340"/>
      <c r="BB4081" s="340"/>
      <c r="BD4081" s="339"/>
    </row>
    <row r="4082" spans="7:56" s="338" customFormat="1">
      <c r="G4082" s="340"/>
      <c r="L4082" s="340"/>
      <c r="P4082" s="340"/>
      <c r="U4082" s="340"/>
      <c r="V4082" s="340"/>
      <c r="Z4082" s="340"/>
      <c r="AE4082" s="340"/>
      <c r="AI4082" s="340"/>
      <c r="AN4082" s="340"/>
      <c r="AO4082" s="340"/>
      <c r="AS4082" s="340"/>
      <c r="AX4082" s="340"/>
      <c r="BB4082" s="340"/>
      <c r="BD4082" s="339"/>
    </row>
    <row r="4083" spans="7:56" s="338" customFormat="1">
      <c r="G4083" s="340"/>
      <c r="L4083" s="340"/>
      <c r="P4083" s="340"/>
      <c r="U4083" s="340"/>
      <c r="V4083" s="340"/>
      <c r="Z4083" s="340"/>
      <c r="AE4083" s="340"/>
      <c r="AI4083" s="340"/>
      <c r="AN4083" s="340"/>
      <c r="AO4083" s="340"/>
      <c r="AS4083" s="340"/>
      <c r="AX4083" s="340"/>
      <c r="BB4083" s="340"/>
      <c r="BD4083" s="339"/>
    </row>
    <row r="4084" spans="7:56" s="338" customFormat="1">
      <c r="G4084" s="340"/>
      <c r="L4084" s="340"/>
      <c r="P4084" s="340"/>
      <c r="U4084" s="340"/>
      <c r="V4084" s="340"/>
      <c r="Z4084" s="340"/>
      <c r="AE4084" s="340"/>
      <c r="AI4084" s="340"/>
      <c r="AN4084" s="340"/>
      <c r="AO4084" s="340"/>
      <c r="AS4084" s="340"/>
      <c r="AX4084" s="340"/>
      <c r="BB4084" s="340"/>
      <c r="BD4084" s="339"/>
    </row>
    <row r="4085" spans="7:56" s="338" customFormat="1">
      <c r="G4085" s="340"/>
      <c r="L4085" s="340"/>
      <c r="P4085" s="340"/>
      <c r="U4085" s="340"/>
      <c r="V4085" s="340"/>
      <c r="Z4085" s="340"/>
      <c r="AE4085" s="340"/>
      <c r="AI4085" s="340"/>
      <c r="AN4085" s="340"/>
      <c r="AO4085" s="340"/>
      <c r="AS4085" s="340"/>
      <c r="AX4085" s="340"/>
      <c r="BB4085" s="340"/>
      <c r="BD4085" s="339"/>
    </row>
    <row r="4086" spans="7:56" s="338" customFormat="1">
      <c r="G4086" s="340"/>
      <c r="L4086" s="340"/>
      <c r="P4086" s="340"/>
      <c r="U4086" s="340"/>
      <c r="V4086" s="340"/>
      <c r="Z4086" s="340"/>
      <c r="AE4086" s="340"/>
      <c r="AI4086" s="340"/>
      <c r="AN4086" s="340"/>
      <c r="AO4086" s="340"/>
      <c r="AS4086" s="340"/>
      <c r="AX4086" s="340"/>
      <c r="BB4086" s="340"/>
      <c r="BD4086" s="339"/>
    </row>
    <row r="4087" spans="7:56" s="338" customFormat="1">
      <c r="G4087" s="340"/>
      <c r="L4087" s="340"/>
      <c r="P4087" s="340"/>
      <c r="U4087" s="340"/>
      <c r="V4087" s="340"/>
      <c r="Z4087" s="340"/>
      <c r="AE4087" s="340"/>
      <c r="AI4087" s="340"/>
      <c r="AN4087" s="340"/>
      <c r="AO4087" s="340"/>
      <c r="AS4087" s="340"/>
      <c r="AX4087" s="340"/>
      <c r="BB4087" s="340"/>
      <c r="BD4087" s="339"/>
    </row>
    <row r="4088" spans="7:56" s="338" customFormat="1">
      <c r="G4088" s="340"/>
      <c r="L4088" s="340"/>
      <c r="P4088" s="340"/>
      <c r="U4088" s="340"/>
      <c r="V4088" s="340"/>
      <c r="Z4088" s="340"/>
      <c r="AE4088" s="340"/>
      <c r="AI4088" s="340"/>
      <c r="AN4088" s="340"/>
      <c r="AO4088" s="340"/>
      <c r="AS4088" s="340"/>
      <c r="AX4088" s="340"/>
      <c r="BB4088" s="340"/>
      <c r="BD4088" s="339"/>
    </row>
    <row r="4089" spans="7:56" s="338" customFormat="1">
      <c r="G4089" s="340"/>
      <c r="L4089" s="340"/>
      <c r="P4089" s="340"/>
      <c r="U4089" s="340"/>
      <c r="V4089" s="340"/>
      <c r="Z4089" s="340"/>
      <c r="AE4089" s="340"/>
      <c r="AI4089" s="340"/>
      <c r="AN4089" s="340"/>
      <c r="AO4089" s="340"/>
      <c r="AS4089" s="340"/>
      <c r="AX4089" s="340"/>
      <c r="BB4089" s="340"/>
      <c r="BD4089" s="339"/>
    </row>
    <row r="4090" spans="7:56" s="338" customFormat="1">
      <c r="G4090" s="340"/>
      <c r="L4090" s="340"/>
      <c r="P4090" s="340"/>
      <c r="U4090" s="340"/>
      <c r="V4090" s="340"/>
      <c r="Z4090" s="340"/>
      <c r="AE4090" s="340"/>
      <c r="AI4090" s="340"/>
      <c r="AN4090" s="340"/>
      <c r="AO4090" s="340"/>
      <c r="AS4090" s="340"/>
      <c r="AX4090" s="340"/>
      <c r="BB4090" s="340"/>
      <c r="BD4090" s="339"/>
    </row>
    <row r="4091" spans="7:56" s="338" customFormat="1">
      <c r="G4091" s="340"/>
      <c r="L4091" s="340"/>
      <c r="P4091" s="340"/>
      <c r="U4091" s="340"/>
      <c r="V4091" s="340"/>
      <c r="Z4091" s="340"/>
      <c r="AE4091" s="340"/>
      <c r="AI4091" s="340"/>
      <c r="AN4091" s="340"/>
      <c r="AO4091" s="340"/>
      <c r="AS4091" s="340"/>
      <c r="AX4091" s="340"/>
      <c r="BB4091" s="340"/>
      <c r="BD4091" s="339"/>
    </row>
    <row r="4092" spans="7:56" s="338" customFormat="1">
      <c r="G4092" s="340"/>
      <c r="L4092" s="340"/>
      <c r="P4092" s="340"/>
      <c r="U4092" s="340"/>
      <c r="V4092" s="340"/>
      <c r="Z4092" s="340"/>
      <c r="AE4092" s="340"/>
      <c r="AI4092" s="340"/>
      <c r="AN4092" s="340"/>
      <c r="AO4092" s="340"/>
      <c r="AS4092" s="340"/>
      <c r="AX4092" s="340"/>
      <c r="BB4092" s="340"/>
      <c r="BD4092" s="339"/>
    </row>
    <row r="4093" spans="7:56" s="338" customFormat="1">
      <c r="G4093" s="340"/>
      <c r="L4093" s="340"/>
      <c r="P4093" s="340"/>
      <c r="U4093" s="340"/>
      <c r="V4093" s="340"/>
      <c r="Z4093" s="340"/>
      <c r="AE4093" s="340"/>
      <c r="AI4093" s="340"/>
      <c r="AN4093" s="340"/>
      <c r="AO4093" s="340"/>
      <c r="AS4093" s="340"/>
      <c r="AX4093" s="340"/>
      <c r="BB4093" s="340"/>
      <c r="BD4093" s="339"/>
    </row>
    <row r="4094" spans="7:56" s="338" customFormat="1">
      <c r="G4094" s="340"/>
      <c r="L4094" s="340"/>
      <c r="P4094" s="340"/>
      <c r="U4094" s="340"/>
      <c r="V4094" s="340"/>
      <c r="Z4094" s="340"/>
      <c r="AE4094" s="340"/>
      <c r="AI4094" s="340"/>
      <c r="AN4094" s="340"/>
      <c r="AO4094" s="340"/>
      <c r="AS4094" s="340"/>
      <c r="AX4094" s="340"/>
      <c r="BB4094" s="340"/>
      <c r="BD4094" s="339"/>
    </row>
    <row r="4095" spans="7:56" s="338" customFormat="1">
      <c r="G4095" s="340"/>
      <c r="L4095" s="340"/>
      <c r="P4095" s="340"/>
      <c r="U4095" s="340"/>
      <c r="V4095" s="340"/>
      <c r="Z4095" s="340"/>
      <c r="AE4095" s="340"/>
      <c r="AI4095" s="340"/>
      <c r="AN4095" s="340"/>
      <c r="AO4095" s="340"/>
      <c r="AS4095" s="340"/>
      <c r="AX4095" s="340"/>
      <c r="BB4095" s="340"/>
      <c r="BD4095" s="339"/>
    </row>
    <row r="4096" spans="7:56" s="338" customFormat="1">
      <c r="G4096" s="340"/>
      <c r="L4096" s="340"/>
      <c r="P4096" s="340"/>
      <c r="U4096" s="340"/>
      <c r="V4096" s="340"/>
      <c r="Z4096" s="340"/>
      <c r="AE4096" s="340"/>
      <c r="AI4096" s="340"/>
      <c r="AN4096" s="340"/>
      <c r="AO4096" s="340"/>
      <c r="AS4096" s="340"/>
      <c r="AX4096" s="340"/>
      <c r="BB4096" s="340"/>
      <c r="BD4096" s="339"/>
    </row>
    <row r="4097" spans="7:56" s="338" customFormat="1">
      <c r="G4097" s="340"/>
      <c r="L4097" s="340"/>
      <c r="P4097" s="340"/>
      <c r="U4097" s="340"/>
      <c r="V4097" s="340"/>
      <c r="Z4097" s="340"/>
      <c r="AE4097" s="340"/>
      <c r="AI4097" s="340"/>
      <c r="AN4097" s="340"/>
      <c r="AO4097" s="340"/>
      <c r="AS4097" s="340"/>
      <c r="AX4097" s="340"/>
      <c r="BB4097" s="340"/>
      <c r="BD4097" s="339"/>
    </row>
    <row r="4098" spans="7:56" s="338" customFormat="1">
      <c r="G4098" s="340"/>
      <c r="L4098" s="340"/>
      <c r="P4098" s="340"/>
      <c r="U4098" s="340"/>
      <c r="V4098" s="340"/>
      <c r="Z4098" s="340"/>
      <c r="AE4098" s="340"/>
      <c r="AI4098" s="340"/>
      <c r="AN4098" s="340"/>
      <c r="AO4098" s="340"/>
      <c r="AS4098" s="340"/>
      <c r="AX4098" s="340"/>
      <c r="BB4098" s="340"/>
      <c r="BD4098" s="339"/>
    </row>
    <row r="4099" spans="7:56" s="338" customFormat="1">
      <c r="G4099" s="340"/>
      <c r="L4099" s="340"/>
      <c r="P4099" s="340"/>
      <c r="U4099" s="340"/>
      <c r="V4099" s="340"/>
      <c r="Z4099" s="340"/>
      <c r="AE4099" s="340"/>
      <c r="AI4099" s="340"/>
      <c r="AN4099" s="340"/>
      <c r="AO4099" s="340"/>
      <c r="AS4099" s="340"/>
      <c r="AX4099" s="340"/>
      <c r="BB4099" s="340"/>
      <c r="BD4099" s="339"/>
    </row>
    <row r="4100" spans="7:56" s="338" customFormat="1">
      <c r="G4100" s="340"/>
      <c r="L4100" s="340"/>
      <c r="P4100" s="340"/>
      <c r="U4100" s="340"/>
      <c r="V4100" s="340"/>
      <c r="Z4100" s="340"/>
      <c r="AE4100" s="340"/>
      <c r="AI4100" s="340"/>
      <c r="AN4100" s="340"/>
      <c r="AO4100" s="340"/>
      <c r="AS4100" s="340"/>
      <c r="AX4100" s="340"/>
      <c r="BB4100" s="340"/>
      <c r="BD4100" s="339"/>
    </row>
    <row r="4101" spans="7:56" s="338" customFormat="1">
      <c r="G4101" s="340"/>
      <c r="L4101" s="340"/>
      <c r="P4101" s="340"/>
      <c r="U4101" s="340"/>
      <c r="V4101" s="340"/>
      <c r="Z4101" s="340"/>
      <c r="AE4101" s="340"/>
      <c r="AI4101" s="340"/>
      <c r="AN4101" s="340"/>
      <c r="AO4101" s="340"/>
      <c r="AS4101" s="340"/>
      <c r="AX4101" s="340"/>
      <c r="BB4101" s="340"/>
      <c r="BD4101" s="339"/>
    </row>
    <row r="4102" spans="7:56" s="338" customFormat="1">
      <c r="G4102" s="340"/>
      <c r="L4102" s="340"/>
      <c r="P4102" s="340"/>
      <c r="U4102" s="340"/>
      <c r="V4102" s="340"/>
      <c r="Z4102" s="340"/>
      <c r="AE4102" s="340"/>
      <c r="AI4102" s="340"/>
      <c r="AN4102" s="340"/>
      <c r="AO4102" s="340"/>
      <c r="AS4102" s="340"/>
      <c r="AX4102" s="340"/>
      <c r="BB4102" s="340"/>
      <c r="BD4102" s="339"/>
    </row>
    <row r="4103" spans="7:56" s="338" customFormat="1">
      <c r="G4103" s="340"/>
      <c r="L4103" s="340"/>
      <c r="P4103" s="340"/>
      <c r="U4103" s="340"/>
      <c r="V4103" s="340"/>
      <c r="Z4103" s="340"/>
      <c r="AE4103" s="340"/>
      <c r="AI4103" s="340"/>
      <c r="AN4103" s="340"/>
      <c r="AO4103" s="340"/>
      <c r="AS4103" s="340"/>
      <c r="AX4103" s="340"/>
      <c r="BB4103" s="340"/>
      <c r="BD4103" s="339"/>
    </row>
    <row r="4104" spans="7:56" s="338" customFormat="1">
      <c r="G4104" s="340"/>
      <c r="L4104" s="340"/>
      <c r="P4104" s="340"/>
      <c r="U4104" s="340"/>
      <c r="V4104" s="340"/>
      <c r="Z4104" s="340"/>
      <c r="AE4104" s="340"/>
      <c r="AI4104" s="340"/>
      <c r="AN4104" s="340"/>
      <c r="AO4104" s="340"/>
      <c r="AS4104" s="340"/>
      <c r="AX4104" s="340"/>
      <c r="BB4104" s="340"/>
      <c r="BD4104" s="339"/>
    </row>
    <row r="4105" spans="7:56" s="338" customFormat="1">
      <c r="G4105" s="340"/>
      <c r="L4105" s="340"/>
      <c r="P4105" s="340"/>
      <c r="U4105" s="340"/>
      <c r="V4105" s="340"/>
      <c r="Z4105" s="340"/>
      <c r="AE4105" s="340"/>
      <c r="AI4105" s="340"/>
      <c r="AN4105" s="340"/>
      <c r="AO4105" s="340"/>
      <c r="AS4105" s="340"/>
      <c r="AX4105" s="340"/>
      <c r="BB4105" s="340"/>
      <c r="BD4105" s="339"/>
    </row>
    <row r="4106" spans="7:56" s="338" customFormat="1">
      <c r="G4106" s="340"/>
      <c r="L4106" s="340"/>
      <c r="P4106" s="340"/>
      <c r="U4106" s="340"/>
      <c r="V4106" s="340"/>
      <c r="Z4106" s="340"/>
      <c r="AE4106" s="340"/>
      <c r="AI4106" s="340"/>
      <c r="AN4106" s="340"/>
      <c r="AO4106" s="340"/>
      <c r="AS4106" s="340"/>
      <c r="AX4106" s="340"/>
      <c r="BB4106" s="340"/>
      <c r="BD4106" s="339"/>
    </row>
    <row r="4107" spans="7:56" s="338" customFormat="1">
      <c r="G4107" s="340"/>
      <c r="L4107" s="340"/>
      <c r="P4107" s="340"/>
      <c r="U4107" s="340"/>
      <c r="V4107" s="340"/>
      <c r="Z4107" s="340"/>
      <c r="AE4107" s="340"/>
      <c r="AI4107" s="340"/>
      <c r="AN4107" s="340"/>
      <c r="AO4107" s="340"/>
      <c r="AS4107" s="340"/>
      <c r="AX4107" s="340"/>
      <c r="BB4107" s="340"/>
      <c r="BD4107" s="339"/>
    </row>
    <row r="4108" spans="7:56" s="338" customFormat="1">
      <c r="G4108" s="340"/>
      <c r="L4108" s="340"/>
      <c r="P4108" s="340"/>
      <c r="U4108" s="340"/>
      <c r="V4108" s="340"/>
      <c r="Z4108" s="340"/>
      <c r="AE4108" s="340"/>
      <c r="AI4108" s="340"/>
      <c r="AN4108" s="340"/>
      <c r="AO4108" s="340"/>
      <c r="AS4108" s="340"/>
      <c r="AX4108" s="340"/>
      <c r="BB4108" s="340"/>
      <c r="BD4108" s="339"/>
    </row>
    <row r="4109" spans="7:56" s="338" customFormat="1">
      <c r="G4109" s="340"/>
      <c r="L4109" s="340"/>
      <c r="P4109" s="340"/>
      <c r="U4109" s="340"/>
      <c r="V4109" s="340"/>
      <c r="Z4109" s="340"/>
      <c r="AE4109" s="340"/>
      <c r="AI4109" s="340"/>
      <c r="AN4109" s="340"/>
      <c r="AO4109" s="340"/>
      <c r="AS4109" s="340"/>
      <c r="AX4109" s="340"/>
      <c r="BB4109" s="340"/>
      <c r="BD4109" s="339"/>
    </row>
    <row r="4110" spans="7:56" s="338" customFormat="1">
      <c r="G4110" s="340"/>
      <c r="L4110" s="340"/>
      <c r="P4110" s="340"/>
      <c r="U4110" s="340"/>
      <c r="V4110" s="340"/>
      <c r="Z4110" s="340"/>
      <c r="AE4110" s="340"/>
      <c r="AI4110" s="340"/>
      <c r="AN4110" s="340"/>
      <c r="AO4110" s="340"/>
      <c r="AS4110" s="340"/>
      <c r="AX4110" s="340"/>
      <c r="BB4110" s="340"/>
      <c r="BD4110" s="339"/>
    </row>
    <row r="4111" spans="7:56" s="338" customFormat="1">
      <c r="G4111" s="340"/>
      <c r="L4111" s="340"/>
      <c r="P4111" s="340"/>
      <c r="U4111" s="340"/>
      <c r="V4111" s="340"/>
      <c r="Z4111" s="340"/>
      <c r="AE4111" s="340"/>
      <c r="AI4111" s="340"/>
      <c r="AN4111" s="340"/>
      <c r="AO4111" s="340"/>
      <c r="AS4111" s="340"/>
      <c r="AX4111" s="340"/>
      <c r="BB4111" s="340"/>
      <c r="BD4111" s="339"/>
    </row>
    <row r="4112" spans="7:56" s="338" customFormat="1">
      <c r="G4112" s="340"/>
      <c r="L4112" s="340"/>
      <c r="P4112" s="340"/>
      <c r="U4112" s="340"/>
      <c r="V4112" s="340"/>
      <c r="Z4112" s="340"/>
      <c r="AE4112" s="340"/>
      <c r="AI4112" s="340"/>
      <c r="AN4112" s="340"/>
      <c r="AO4112" s="340"/>
      <c r="AS4112" s="340"/>
      <c r="AX4112" s="340"/>
      <c r="BB4112" s="340"/>
      <c r="BD4112" s="339"/>
    </row>
    <row r="4113" spans="7:56" s="338" customFormat="1">
      <c r="G4113" s="340"/>
      <c r="L4113" s="340"/>
      <c r="P4113" s="340"/>
      <c r="U4113" s="340"/>
      <c r="V4113" s="340"/>
      <c r="Z4113" s="340"/>
      <c r="AE4113" s="340"/>
      <c r="AI4113" s="340"/>
      <c r="AN4113" s="340"/>
      <c r="AO4113" s="340"/>
      <c r="AS4113" s="340"/>
      <c r="AX4113" s="340"/>
      <c r="BB4113" s="340"/>
      <c r="BD4113" s="339"/>
    </row>
    <row r="4114" spans="7:56" s="338" customFormat="1">
      <c r="G4114" s="340"/>
      <c r="L4114" s="340"/>
      <c r="P4114" s="340"/>
      <c r="U4114" s="340"/>
      <c r="V4114" s="340"/>
      <c r="Z4114" s="340"/>
      <c r="AE4114" s="340"/>
      <c r="AI4114" s="340"/>
      <c r="AN4114" s="340"/>
      <c r="AO4114" s="340"/>
      <c r="AS4114" s="340"/>
      <c r="AX4114" s="340"/>
      <c r="BB4114" s="340"/>
      <c r="BD4114" s="339"/>
    </row>
    <row r="4115" spans="7:56" s="338" customFormat="1">
      <c r="G4115" s="340"/>
      <c r="L4115" s="340"/>
      <c r="P4115" s="340"/>
      <c r="U4115" s="340"/>
      <c r="V4115" s="340"/>
      <c r="Z4115" s="340"/>
      <c r="AE4115" s="340"/>
      <c r="AI4115" s="340"/>
      <c r="AN4115" s="340"/>
      <c r="AO4115" s="340"/>
      <c r="AS4115" s="340"/>
      <c r="AX4115" s="340"/>
      <c r="BB4115" s="340"/>
      <c r="BD4115" s="339"/>
    </row>
    <row r="4116" spans="7:56" s="338" customFormat="1">
      <c r="G4116" s="340"/>
      <c r="L4116" s="340"/>
      <c r="P4116" s="340"/>
      <c r="U4116" s="340"/>
      <c r="V4116" s="340"/>
      <c r="Z4116" s="340"/>
      <c r="AE4116" s="340"/>
      <c r="AI4116" s="340"/>
      <c r="AN4116" s="340"/>
      <c r="AO4116" s="340"/>
      <c r="AS4116" s="340"/>
      <c r="AX4116" s="340"/>
      <c r="BB4116" s="340"/>
      <c r="BD4116" s="339"/>
    </row>
    <row r="4117" spans="7:56" s="338" customFormat="1">
      <c r="G4117" s="340"/>
      <c r="L4117" s="340"/>
      <c r="P4117" s="340"/>
      <c r="U4117" s="340"/>
      <c r="V4117" s="340"/>
      <c r="Z4117" s="340"/>
      <c r="AE4117" s="340"/>
      <c r="AI4117" s="340"/>
      <c r="AN4117" s="340"/>
      <c r="AO4117" s="340"/>
      <c r="AS4117" s="340"/>
      <c r="AX4117" s="340"/>
      <c r="BB4117" s="340"/>
      <c r="BD4117" s="339"/>
    </row>
    <row r="4118" spans="7:56" s="338" customFormat="1">
      <c r="G4118" s="340"/>
      <c r="L4118" s="340"/>
      <c r="P4118" s="340"/>
      <c r="U4118" s="340"/>
      <c r="V4118" s="340"/>
      <c r="Z4118" s="340"/>
      <c r="AE4118" s="340"/>
      <c r="AI4118" s="340"/>
      <c r="AN4118" s="340"/>
      <c r="AO4118" s="340"/>
      <c r="AS4118" s="340"/>
      <c r="AX4118" s="340"/>
      <c r="BB4118" s="340"/>
      <c r="BD4118" s="339"/>
    </row>
    <row r="4119" spans="7:56" s="338" customFormat="1">
      <c r="G4119" s="340"/>
      <c r="L4119" s="340"/>
      <c r="P4119" s="340"/>
      <c r="U4119" s="340"/>
      <c r="V4119" s="340"/>
      <c r="Z4119" s="340"/>
      <c r="AE4119" s="340"/>
      <c r="AI4119" s="340"/>
      <c r="AN4119" s="340"/>
      <c r="AO4119" s="340"/>
      <c r="AS4119" s="340"/>
      <c r="AX4119" s="340"/>
      <c r="BB4119" s="340"/>
      <c r="BD4119" s="339"/>
    </row>
    <row r="4120" spans="7:56" s="338" customFormat="1">
      <c r="G4120" s="340"/>
      <c r="L4120" s="340"/>
      <c r="P4120" s="340"/>
      <c r="U4120" s="340"/>
      <c r="V4120" s="340"/>
      <c r="Z4120" s="340"/>
      <c r="AE4120" s="340"/>
      <c r="AI4120" s="340"/>
      <c r="AN4120" s="340"/>
      <c r="AO4120" s="340"/>
      <c r="AS4120" s="340"/>
      <c r="AX4120" s="340"/>
      <c r="BB4120" s="340"/>
      <c r="BD4120" s="339"/>
    </row>
    <row r="4121" spans="7:56" s="338" customFormat="1">
      <c r="G4121" s="340"/>
      <c r="L4121" s="340"/>
      <c r="P4121" s="340"/>
      <c r="U4121" s="340"/>
      <c r="V4121" s="340"/>
      <c r="Z4121" s="340"/>
      <c r="AE4121" s="340"/>
      <c r="AI4121" s="340"/>
      <c r="AN4121" s="340"/>
      <c r="AO4121" s="340"/>
      <c r="AS4121" s="340"/>
      <c r="AX4121" s="340"/>
      <c r="BB4121" s="340"/>
      <c r="BD4121" s="339"/>
    </row>
    <row r="4122" spans="7:56" s="338" customFormat="1">
      <c r="G4122" s="340"/>
      <c r="L4122" s="340"/>
      <c r="P4122" s="340"/>
      <c r="U4122" s="340"/>
      <c r="V4122" s="340"/>
      <c r="Z4122" s="340"/>
      <c r="AE4122" s="340"/>
      <c r="AI4122" s="340"/>
      <c r="AN4122" s="340"/>
      <c r="AO4122" s="340"/>
      <c r="AS4122" s="340"/>
      <c r="AX4122" s="340"/>
      <c r="BB4122" s="340"/>
      <c r="BD4122" s="339"/>
    </row>
    <row r="4123" spans="7:56" s="338" customFormat="1">
      <c r="G4123" s="340"/>
      <c r="L4123" s="340"/>
      <c r="P4123" s="340"/>
      <c r="U4123" s="340"/>
      <c r="V4123" s="340"/>
      <c r="Z4123" s="340"/>
      <c r="AE4123" s="340"/>
      <c r="AI4123" s="340"/>
      <c r="AN4123" s="340"/>
      <c r="AO4123" s="340"/>
      <c r="AS4123" s="340"/>
      <c r="AX4123" s="340"/>
      <c r="BB4123" s="340"/>
      <c r="BD4123" s="339"/>
    </row>
    <row r="4124" spans="7:56" s="338" customFormat="1">
      <c r="G4124" s="340"/>
      <c r="L4124" s="340"/>
      <c r="P4124" s="340"/>
      <c r="U4124" s="340"/>
      <c r="V4124" s="340"/>
      <c r="Z4124" s="340"/>
      <c r="AE4124" s="340"/>
      <c r="AI4124" s="340"/>
      <c r="AN4124" s="340"/>
      <c r="AO4124" s="340"/>
      <c r="AS4124" s="340"/>
      <c r="AX4124" s="340"/>
      <c r="BB4124" s="340"/>
      <c r="BD4124" s="339"/>
    </row>
    <row r="4125" spans="7:56" s="338" customFormat="1">
      <c r="G4125" s="340"/>
      <c r="L4125" s="340"/>
      <c r="P4125" s="340"/>
      <c r="U4125" s="340"/>
      <c r="V4125" s="340"/>
      <c r="Z4125" s="340"/>
      <c r="AE4125" s="340"/>
      <c r="AI4125" s="340"/>
      <c r="AN4125" s="340"/>
      <c r="AO4125" s="340"/>
      <c r="AS4125" s="340"/>
      <c r="AX4125" s="340"/>
      <c r="BB4125" s="340"/>
      <c r="BD4125" s="339"/>
    </row>
    <row r="4126" spans="7:56" s="338" customFormat="1">
      <c r="G4126" s="340"/>
      <c r="L4126" s="340"/>
      <c r="P4126" s="340"/>
      <c r="U4126" s="340"/>
      <c r="V4126" s="340"/>
      <c r="Z4126" s="340"/>
      <c r="AE4126" s="340"/>
      <c r="AI4126" s="340"/>
      <c r="AN4126" s="340"/>
      <c r="AO4126" s="340"/>
      <c r="AS4126" s="340"/>
      <c r="AX4126" s="340"/>
      <c r="BB4126" s="340"/>
      <c r="BD4126" s="339"/>
    </row>
    <row r="4127" spans="7:56" s="338" customFormat="1">
      <c r="G4127" s="340"/>
      <c r="L4127" s="340"/>
      <c r="P4127" s="340"/>
      <c r="U4127" s="340"/>
      <c r="V4127" s="340"/>
      <c r="Z4127" s="340"/>
      <c r="AE4127" s="340"/>
      <c r="AI4127" s="340"/>
      <c r="AN4127" s="340"/>
      <c r="AO4127" s="340"/>
      <c r="AS4127" s="340"/>
      <c r="AX4127" s="340"/>
      <c r="BB4127" s="340"/>
      <c r="BD4127" s="339"/>
    </row>
    <row r="4128" spans="7:56" s="338" customFormat="1">
      <c r="G4128" s="340"/>
      <c r="L4128" s="340"/>
      <c r="P4128" s="340"/>
      <c r="U4128" s="340"/>
      <c r="V4128" s="340"/>
      <c r="Z4128" s="340"/>
      <c r="AE4128" s="340"/>
      <c r="AI4128" s="340"/>
      <c r="AN4128" s="340"/>
      <c r="AO4128" s="340"/>
      <c r="AS4128" s="340"/>
      <c r="AX4128" s="340"/>
      <c r="BB4128" s="340"/>
      <c r="BD4128" s="339"/>
    </row>
    <row r="4129" spans="7:56" s="338" customFormat="1">
      <c r="G4129" s="340"/>
      <c r="L4129" s="340"/>
      <c r="P4129" s="340"/>
      <c r="U4129" s="340"/>
      <c r="V4129" s="340"/>
      <c r="Z4129" s="340"/>
      <c r="AE4129" s="340"/>
      <c r="AI4129" s="340"/>
      <c r="AN4129" s="340"/>
      <c r="AO4129" s="340"/>
      <c r="AS4129" s="340"/>
      <c r="AX4129" s="340"/>
      <c r="BB4129" s="340"/>
      <c r="BD4129" s="339"/>
    </row>
    <row r="4130" spans="7:56" s="338" customFormat="1">
      <c r="G4130" s="340"/>
      <c r="L4130" s="340"/>
      <c r="P4130" s="340"/>
      <c r="U4130" s="340"/>
      <c r="V4130" s="340"/>
      <c r="Z4130" s="340"/>
      <c r="AE4130" s="340"/>
      <c r="AI4130" s="340"/>
      <c r="AN4130" s="340"/>
      <c r="AO4130" s="340"/>
      <c r="AS4130" s="340"/>
      <c r="AX4130" s="340"/>
      <c r="BB4130" s="340"/>
      <c r="BD4130" s="339"/>
    </row>
    <row r="4131" spans="7:56" s="338" customFormat="1">
      <c r="G4131" s="340"/>
      <c r="L4131" s="340"/>
      <c r="P4131" s="340"/>
      <c r="U4131" s="340"/>
      <c r="V4131" s="340"/>
      <c r="Z4131" s="340"/>
      <c r="AE4131" s="340"/>
      <c r="AI4131" s="340"/>
      <c r="AN4131" s="340"/>
      <c r="AO4131" s="340"/>
      <c r="AS4131" s="340"/>
      <c r="AX4131" s="340"/>
      <c r="BB4131" s="340"/>
      <c r="BD4131" s="339"/>
    </row>
    <row r="4132" spans="7:56" s="338" customFormat="1">
      <c r="G4132" s="340"/>
      <c r="L4132" s="340"/>
      <c r="P4132" s="340"/>
      <c r="U4132" s="340"/>
      <c r="V4132" s="340"/>
      <c r="Z4132" s="340"/>
      <c r="AE4132" s="340"/>
      <c r="AI4132" s="340"/>
      <c r="AN4132" s="340"/>
      <c r="AO4132" s="340"/>
      <c r="AS4132" s="340"/>
      <c r="AX4132" s="340"/>
      <c r="BB4132" s="340"/>
      <c r="BD4132" s="339"/>
    </row>
    <row r="4133" spans="7:56" s="338" customFormat="1">
      <c r="G4133" s="340"/>
      <c r="L4133" s="340"/>
      <c r="P4133" s="340"/>
      <c r="U4133" s="340"/>
      <c r="V4133" s="340"/>
      <c r="Z4133" s="340"/>
      <c r="AE4133" s="340"/>
      <c r="AI4133" s="340"/>
      <c r="AN4133" s="340"/>
      <c r="AO4133" s="340"/>
      <c r="AS4133" s="340"/>
      <c r="AX4133" s="340"/>
      <c r="BB4133" s="340"/>
      <c r="BD4133" s="339"/>
    </row>
    <row r="4134" spans="7:56" s="338" customFormat="1">
      <c r="G4134" s="340"/>
      <c r="L4134" s="340"/>
      <c r="P4134" s="340"/>
      <c r="U4134" s="340"/>
      <c r="V4134" s="340"/>
      <c r="Z4134" s="340"/>
      <c r="AE4134" s="340"/>
      <c r="AI4134" s="340"/>
      <c r="AN4134" s="340"/>
      <c r="AO4134" s="340"/>
      <c r="AS4134" s="340"/>
      <c r="AX4134" s="340"/>
      <c r="BB4134" s="340"/>
      <c r="BD4134" s="339"/>
    </row>
    <row r="4135" spans="7:56" s="338" customFormat="1">
      <c r="G4135" s="340"/>
      <c r="L4135" s="340"/>
      <c r="P4135" s="340"/>
      <c r="U4135" s="340"/>
      <c r="V4135" s="340"/>
      <c r="Z4135" s="340"/>
      <c r="AE4135" s="340"/>
      <c r="AI4135" s="340"/>
      <c r="AN4135" s="340"/>
      <c r="AO4135" s="340"/>
      <c r="AS4135" s="340"/>
      <c r="AX4135" s="340"/>
      <c r="BB4135" s="340"/>
      <c r="BD4135" s="339"/>
    </row>
    <row r="4136" spans="7:56" s="338" customFormat="1">
      <c r="G4136" s="340"/>
      <c r="L4136" s="340"/>
      <c r="P4136" s="340"/>
      <c r="U4136" s="340"/>
      <c r="V4136" s="340"/>
      <c r="Z4136" s="340"/>
      <c r="AE4136" s="340"/>
      <c r="AI4136" s="340"/>
      <c r="AN4136" s="340"/>
      <c r="AO4136" s="340"/>
      <c r="AS4136" s="340"/>
      <c r="AX4136" s="340"/>
      <c r="BB4136" s="340"/>
      <c r="BD4136" s="339"/>
    </row>
    <row r="4137" spans="7:56" s="338" customFormat="1">
      <c r="G4137" s="340"/>
      <c r="L4137" s="340"/>
      <c r="P4137" s="340"/>
      <c r="U4137" s="340"/>
      <c r="V4137" s="340"/>
      <c r="Z4137" s="340"/>
      <c r="AE4137" s="340"/>
      <c r="AI4137" s="340"/>
      <c r="AN4137" s="340"/>
      <c r="AO4137" s="340"/>
      <c r="AS4137" s="340"/>
      <c r="AX4137" s="340"/>
      <c r="BB4137" s="340"/>
      <c r="BD4137" s="339"/>
    </row>
    <row r="4138" spans="7:56" s="338" customFormat="1">
      <c r="G4138" s="340"/>
      <c r="L4138" s="340"/>
      <c r="P4138" s="340"/>
      <c r="U4138" s="340"/>
      <c r="V4138" s="340"/>
      <c r="Z4138" s="340"/>
      <c r="AE4138" s="340"/>
      <c r="AI4138" s="340"/>
      <c r="AN4138" s="340"/>
      <c r="AO4138" s="340"/>
      <c r="AS4138" s="340"/>
      <c r="AX4138" s="340"/>
      <c r="BB4138" s="340"/>
      <c r="BD4138" s="339"/>
    </row>
    <row r="4139" spans="7:56" s="338" customFormat="1">
      <c r="G4139" s="340"/>
      <c r="L4139" s="340"/>
      <c r="P4139" s="340"/>
      <c r="U4139" s="340"/>
      <c r="V4139" s="340"/>
      <c r="Z4139" s="340"/>
      <c r="AE4139" s="340"/>
      <c r="AI4139" s="340"/>
      <c r="AN4139" s="340"/>
      <c r="AO4139" s="340"/>
      <c r="AS4139" s="340"/>
      <c r="AX4139" s="340"/>
      <c r="BB4139" s="340"/>
      <c r="BD4139" s="339"/>
    </row>
    <row r="4140" spans="7:56" s="338" customFormat="1">
      <c r="G4140" s="340"/>
      <c r="L4140" s="340"/>
      <c r="P4140" s="340"/>
      <c r="U4140" s="340"/>
      <c r="V4140" s="340"/>
      <c r="Z4140" s="340"/>
      <c r="AE4140" s="340"/>
      <c r="AI4140" s="340"/>
      <c r="AN4140" s="340"/>
      <c r="AO4140" s="340"/>
      <c r="AS4140" s="340"/>
      <c r="AX4140" s="340"/>
      <c r="BB4140" s="340"/>
      <c r="BD4140" s="339"/>
    </row>
    <row r="4141" spans="7:56" s="338" customFormat="1">
      <c r="G4141" s="340"/>
      <c r="L4141" s="340"/>
      <c r="P4141" s="340"/>
      <c r="U4141" s="340"/>
      <c r="V4141" s="340"/>
      <c r="Z4141" s="340"/>
      <c r="AE4141" s="340"/>
      <c r="AI4141" s="340"/>
      <c r="AN4141" s="340"/>
      <c r="AO4141" s="340"/>
      <c r="AS4141" s="340"/>
      <c r="AX4141" s="340"/>
      <c r="BB4141" s="340"/>
      <c r="BD4141" s="339"/>
    </row>
    <row r="4142" spans="7:56" s="338" customFormat="1">
      <c r="G4142" s="340"/>
      <c r="L4142" s="340"/>
      <c r="P4142" s="340"/>
      <c r="U4142" s="340"/>
      <c r="V4142" s="340"/>
      <c r="Z4142" s="340"/>
      <c r="AE4142" s="340"/>
      <c r="AI4142" s="340"/>
      <c r="AN4142" s="340"/>
      <c r="AO4142" s="340"/>
      <c r="AS4142" s="340"/>
      <c r="AX4142" s="340"/>
      <c r="BB4142" s="340"/>
      <c r="BD4142" s="339"/>
    </row>
    <row r="4143" spans="7:56" s="338" customFormat="1">
      <c r="G4143" s="340"/>
      <c r="L4143" s="340"/>
      <c r="P4143" s="340"/>
      <c r="U4143" s="340"/>
      <c r="V4143" s="340"/>
      <c r="Z4143" s="340"/>
      <c r="AE4143" s="340"/>
      <c r="AI4143" s="340"/>
      <c r="AN4143" s="340"/>
      <c r="AO4143" s="340"/>
      <c r="AS4143" s="340"/>
      <c r="AX4143" s="340"/>
      <c r="BB4143" s="340"/>
      <c r="BD4143" s="339"/>
    </row>
    <row r="4144" spans="7:56" s="338" customFormat="1">
      <c r="G4144" s="340"/>
      <c r="L4144" s="340"/>
      <c r="P4144" s="340"/>
      <c r="U4144" s="340"/>
      <c r="V4144" s="340"/>
      <c r="Z4144" s="340"/>
      <c r="AE4144" s="340"/>
      <c r="AI4144" s="340"/>
      <c r="AN4144" s="340"/>
      <c r="AO4144" s="340"/>
      <c r="AS4144" s="340"/>
      <c r="AX4144" s="340"/>
      <c r="BB4144" s="340"/>
      <c r="BD4144" s="339"/>
    </row>
    <row r="4145" spans="7:56" s="338" customFormat="1">
      <c r="G4145" s="340"/>
      <c r="L4145" s="340"/>
      <c r="P4145" s="340"/>
      <c r="U4145" s="340"/>
      <c r="V4145" s="340"/>
      <c r="Z4145" s="340"/>
      <c r="AE4145" s="340"/>
      <c r="AI4145" s="340"/>
      <c r="AN4145" s="340"/>
      <c r="AO4145" s="340"/>
      <c r="AS4145" s="340"/>
      <c r="AX4145" s="340"/>
      <c r="BB4145" s="340"/>
      <c r="BD4145" s="339"/>
    </row>
    <row r="4146" spans="7:56" s="338" customFormat="1">
      <c r="G4146" s="340"/>
      <c r="L4146" s="340"/>
      <c r="P4146" s="340"/>
      <c r="U4146" s="340"/>
      <c r="V4146" s="340"/>
      <c r="Z4146" s="340"/>
      <c r="AE4146" s="340"/>
      <c r="AI4146" s="340"/>
      <c r="AN4146" s="340"/>
      <c r="AO4146" s="340"/>
      <c r="AS4146" s="340"/>
      <c r="AX4146" s="340"/>
      <c r="BB4146" s="340"/>
      <c r="BD4146" s="339"/>
    </row>
    <row r="4147" spans="7:56" s="338" customFormat="1">
      <c r="G4147" s="340"/>
      <c r="L4147" s="340"/>
      <c r="P4147" s="340"/>
      <c r="U4147" s="340"/>
      <c r="V4147" s="340"/>
      <c r="Z4147" s="340"/>
      <c r="AE4147" s="340"/>
      <c r="AI4147" s="340"/>
      <c r="AN4147" s="340"/>
      <c r="AO4147" s="340"/>
      <c r="AS4147" s="340"/>
      <c r="AX4147" s="340"/>
      <c r="BB4147" s="340"/>
      <c r="BD4147" s="339"/>
    </row>
    <row r="4148" spans="7:56" s="338" customFormat="1">
      <c r="G4148" s="340"/>
      <c r="L4148" s="340"/>
      <c r="P4148" s="340"/>
      <c r="U4148" s="340"/>
      <c r="V4148" s="340"/>
      <c r="Z4148" s="340"/>
      <c r="AE4148" s="340"/>
      <c r="AI4148" s="340"/>
      <c r="AN4148" s="340"/>
      <c r="AO4148" s="340"/>
      <c r="AS4148" s="340"/>
      <c r="AX4148" s="340"/>
      <c r="BB4148" s="340"/>
      <c r="BD4148" s="339"/>
    </row>
    <row r="4149" spans="7:56" s="338" customFormat="1">
      <c r="G4149" s="340"/>
      <c r="L4149" s="340"/>
      <c r="P4149" s="340"/>
      <c r="U4149" s="340"/>
      <c r="V4149" s="340"/>
      <c r="Z4149" s="340"/>
      <c r="AE4149" s="340"/>
      <c r="AI4149" s="340"/>
      <c r="AN4149" s="340"/>
      <c r="AO4149" s="340"/>
      <c r="AS4149" s="340"/>
      <c r="AX4149" s="340"/>
      <c r="BB4149" s="340"/>
      <c r="BD4149" s="339"/>
    </row>
    <row r="4150" spans="7:56" s="338" customFormat="1">
      <c r="G4150" s="340"/>
      <c r="L4150" s="340"/>
      <c r="P4150" s="340"/>
      <c r="U4150" s="340"/>
      <c r="V4150" s="340"/>
      <c r="Z4150" s="340"/>
      <c r="AE4150" s="340"/>
      <c r="AI4150" s="340"/>
      <c r="AN4150" s="340"/>
      <c r="AO4150" s="340"/>
      <c r="AS4150" s="340"/>
      <c r="AX4150" s="340"/>
      <c r="BB4150" s="340"/>
      <c r="BD4150" s="339"/>
    </row>
    <row r="4151" spans="7:56" s="338" customFormat="1">
      <c r="G4151" s="340"/>
      <c r="L4151" s="340"/>
      <c r="P4151" s="340"/>
      <c r="U4151" s="340"/>
      <c r="V4151" s="340"/>
      <c r="Z4151" s="340"/>
      <c r="AE4151" s="340"/>
      <c r="AI4151" s="340"/>
      <c r="AN4151" s="340"/>
      <c r="AO4151" s="340"/>
      <c r="AS4151" s="340"/>
      <c r="AX4151" s="340"/>
      <c r="BB4151" s="340"/>
      <c r="BD4151" s="339"/>
    </row>
    <row r="4152" spans="7:56" s="338" customFormat="1">
      <c r="G4152" s="340"/>
      <c r="L4152" s="340"/>
      <c r="P4152" s="340"/>
      <c r="U4152" s="340"/>
      <c r="V4152" s="340"/>
      <c r="Z4152" s="340"/>
      <c r="AE4152" s="340"/>
      <c r="AI4152" s="340"/>
      <c r="AN4152" s="340"/>
      <c r="AO4152" s="340"/>
      <c r="AS4152" s="340"/>
      <c r="AX4152" s="340"/>
      <c r="BB4152" s="340"/>
      <c r="BD4152" s="339"/>
    </row>
    <row r="4153" spans="7:56" s="338" customFormat="1">
      <c r="G4153" s="340"/>
      <c r="L4153" s="340"/>
      <c r="P4153" s="340"/>
      <c r="U4153" s="340"/>
      <c r="V4153" s="340"/>
      <c r="Z4153" s="340"/>
      <c r="AE4153" s="340"/>
      <c r="AI4153" s="340"/>
      <c r="AN4153" s="340"/>
      <c r="AO4153" s="340"/>
      <c r="AS4153" s="340"/>
      <c r="AX4153" s="340"/>
      <c r="BB4153" s="340"/>
      <c r="BD4153" s="339"/>
    </row>
    <row r="4154" spans="7:56" s="338" customFormat="1">
      <c r="G4154" s="340"/>
      <c r="L4154" s="340"/>
      <c r="P4154" s="340"/>
      <c r="U4154" s="340"/>
      <c r="V4154" s="340"/>
      <c r="Z4154" s="340"/>
      <c r="AE4154" s="340"/>
      <c r="AI4154" s="340"/>
      <c r="AN4154" s="340"/>
      <c r="AO4154" s="340"/>
      <c r="AS4154" s="340"/>
      <c r="AX4154" s="340"/>
      <c r="BB4154" s="340"/>
      <c r="BD4154" s="339"/>
    </row>
    <row r="4155" spans="7:56" s="338" customFormat="1">
      <c r="G4155" s="340"/>
      <c r="L4155" s="340"/>
      <c r="P4155" s="340"/>
      <c r="U4155" s="340"/>
      <c r="V4155" s="340"/>
      <c r="Z4155" s="340"/>
      <c r="AE4155" s="340"/>
      <c r="AI4155" s="340"/>
      <c r="AN4155" s="340"/>
      <c r="AO4155" s="340"/>
      <c r="AS4155" s="340"/>
      <c r="AX4155" s="340"/>
      <c r="BB4155" s="340"/>
      <c r="BD4155" s="339"/>
    </row>
    <row r="4156" spans="7:56" s="338" customFormat="1">
      <c r="G4156" s="340"/>
      <c r="L4156" s="340"/>
      <c r="P4156" s="340"/>
      <c r="U4156" s="340"/>
      <c r="V4156" s="340"/>
      <c r="Z4156" s="340"/>
      <c r="AE4156" s="340"/>
      <c r="AI4156" s="340"/>
      <c r="AN4156" s="340"/>
      <c r="AO4156" s="340"/>
      <c r="AS4156" s="340"/>
      <c r="AX4156" s="340"/>
      <c r="BB4156" s="340"/>
      <c r="BD4156" s="339"/>
    </row>
    <row r="4157" spans="7:56" s="338" customFormat="1">
      <c r="G4157" s="340"/>
      <c r="L4157" s="340"/>
      <c r="P4157" s="340"/>
      <c r="U4157" s="340"/>
      <c r="V4157" s="340"/>
      <c r="Z4157" s="340"/>
      <c r="AE4157" s="340"/>
      <c r="AI4157" s="340"/>
      <c r="AN4157" s="340"/>
      <c r="AO4157" s="340"/>
      <c r="AS4157" s="340"/>
      <c r="AX4157" s="340"/>
      <c r="BB4157" s="340"/>
      <c r="BD4157" s="339"/>
    </row>
    <row r="4158" spans="7:56" s="338" customFormat="1">
      <c r="G4158" s="340"/>
      <c r="L4158" s="340"/>
      <c r="P4158" s="340"/>
      <c r="U4158" s="340"/>
      <c r="V4158" s="340"/>
      <c r="Z4158" s="340"/>
      <c r="AE4158" s="340"/>
      <c r="AI4158" s="340"/>
      <c r="AN4158" s="340"/>
      <c r="AO4158" s="340"/>
      <c r="AS4158" s="340"/>
      <c r="AX4158" s="340"/>
      <c r="BB4158" s="340"/>
      <c r="BD4158" s="339"/>
    </row>
    <row r="4159" spans="7:56" s="338" customFormat="1">
      <c r="G4159" s="340"/>
      <c r="L4159" s="340"/>
      <c r="P4159" s="340"/>
      <c r="U4159" s="340"/>
      <c r="V4159" s="340"/>
      <c r="Z4159" s="340"/>
      <c r="AE4159" s="340"/>
      <c r="AI4159" s="340"/>
      <c r="AN4159" s="340"/>
      <c r="AO4159" s="340"/>
      <c r="AS4159" s="340"/>
      <c r="AX4159" s="340"/>
      <c r="BB4159" s="340"/>
      <c r="BD4159" s="339"/>
    </row>
    <row r="4160" spans="7:56" s="338" customFormat="1">
      <c r="G4160" s="340"/>
      <c r="L4160" s="340"/>
      <c r="P4160" s="340"/>
      <c r="U4160" s="340"/>
      <c r="V4160" s="340"/>
      <c r="Z4160" s="340"/>
      <c r="AE4160" s="340"/>
      <c r="AI4160" s="340"/>
      <c r="AN4160" s="340"/>
      <c r="AO4160" s="340"/>
      <c r="AS4160" s="340"/>
      <c r="AX4160" s="340"/>
      <c r="BB4160" s="340"/>
      <c r="BD4160" s="339"/>
    </row>
    <row r="4161" spans="7:56" s="338" customFormat="1">
      <c r="G4161" s="340"/>
      <c r="L4161" s="340"/>
      <c r="P4161" s="340"/>
      <c r="U4161" s="340"/>
      <c r="V4161" s="340"/>
      <c r="Z4161" s="340"/>
      <c r="AE4161" s="340"/>
      <c r="AI4161" s="340"/>
      <c r="AN4161" s="340"/>
      <c r="AO4161" s="340"/>
      <c r="AS4161" s="340"/>
      <c r="AX4161" s="340"/>
      <c r="BB4161" s="340"/>
      <c r="BD4161" s="339"/>
    </row>
    <row r="4162" spans="7:56" s="338" customFormat="1">
      <c r="G4162" s="340"/>
      <c r="L4162" s="340"/>
      <c r="P4162" s="340"/>
      <c r="U4162" s="340"/>
      <c r="V4162" s="340"/>
      <c r="Z4162" s="340"/>
      <c r="AE4162" s="340"/>
      <c r="AI4162" s="340"/>
      <c r="AN4162" s="340"/>
      <c r="AO4162" s="340"/>
      <c r="AS4162" s="340"/>
      <c r="AX4162" s="340"/>
      <c r="BB4162" s="340"/>
      <c r="BD4162" s="339"/>
    </row>
    <row r="4163" spans="7:56" s="338" customFormat="1">
      <c r="G4163" s="340"/>
      <c r="L4163" s="340"/>
      <c r="P4163" s="340"/>
      <c r="U4163" s="340"/>
      <c r="V4163" s="340"/>
      <c r="Z4163" s="340"/>
      <c r="AE4163" s="340"/>
      <c r="AI4163" s="340"/>
      <c r="AN4163" s="340"/>
      <c r="AO4163" s="340"/>
      <c r="AS4163" s="340"/>
      <c r="AX4163" s="340"/>
      <c r="BB4163" s="340"/>
      <c r="BD4163" s="339"/>
    </row>
    <row r="4164" spans="7:56" s="338" customFormat="1">
      <c r="G4164" s="340"/>
      <c r="L4164" s="340"/>
      <c r="P4164" s="340"/>
      <c r="U4164" s="340"/>
      <c r="V4164" s="340"/>
      <c r="Z4164" s="340"/>
      <c r="AE4164" s="340"/>
      <c r="AI4164" s="340"/>
      <c r="AN4164" s="340"/>
      <c r="AO4164" s="340"/>
      <c r="AS4164" s="340"/>
      <c r="AX4164" s="340"/>
      <c r="BB4164" s="340"/>
      <c r="BD4164" s="339"/>
    </row>
    <row r="4165" spans="7:56" s="338" customFormat="1">
      <c r="G4165" s="340"/>
      <c r="L4165" s="340"/>
      <c r="P4165" s="340"/>
      <c r="U4165" s="340"/>
      <c r="V4165" s="340"/>
      <c r="Z4165" s="340"/>
      <c r="AE4165" s="340"/>
      <c r="AI4165" s="340"/>
      <c r="AN4165" s="340"/>
      <c r="AO4165" s="340"/>
      <c r="AS4165" s="340"/>
      <c r="AX4165" s="340"/>
      <c r="BB4165" s="340"/>
      <c r="BD4165" s="339"/>
    </row>
    <row r="4166" spans="7:56" s="338" customFormat="1">
      <c r="G4166" s="340"/>
      <c r="L4166" s="340"/>
      <c r="P4166" s="340"/>
      <c r="U4166" s="340"/>
      <c r="V4166" s="340"/>
      <c r="Z4166" s="340"/>
      <c r="AE4166" s="340"/>
      <c r="AI4166" s="340"/>
      <c r="AN4166" s="340"/>
      <c r="AO4166" s="340"/>
      <c r="AS4166" s="340"/>
      <c r="AX4166" s="340"/>
      <c r="BB4166" s="340"/>
      <c r="BD4166" s="339"/>
    </row>
    <row r="4167" spans="7:56" s="338" customFormat="1">
      <c r="G4167" s="340"/>
      <c r="L4167" s="340"/>
      <c r="P4167" s="340"/>
      <c r="U4167" s="340"/>
      <c r="V4167" s="340"/>
      <c r="Z4167" s="340"/>
      <c r="AE4167" s="340"/>
      <c r="AI4167" s="340"/>
      <c r="AN4167" s="340"/>
      <c r="AO4167" s="340"/>
      <c r="AS4167" s="340"/>
      <c r="AX4167" s="340"/>
      <c r="BB4167" s="340"/>
      <c r="BD4167" s="339"/>
    </row>
    <row r="4168" spans="7:56" s="338" customFormat="1">
      <c r="G4168" s="340"/>
      <c r="L4168" s="340"/>
      <c r="P4168" s="340"/>
      <c r="U4168" s="340"/>
      <c r="V4168" s="340"/>
      <c r="Z4168" s="340"/>
      <c r="AE4168" s="340"/>
      <c r="AI4168" s="340"/>
      <c r="AN4168" s="340"/>
      <c r="AO4168" s="340"/>
      <c r="AS4168" s="340"/>
      <c r="AX4168" s="340"/>
      <c r="BB4168" s="340"/>
      <c r="BD4168" s="339"/>
    </row>
    <row r="4169" spans="7:56" s="338" customFormat="1">
      <c r="G4169" s="340"/>
      <c r="L4169" s="340"/>
      <c r="P4169" s="340"/>
      <c r="U4169" s="340"/>
      <c r="V4169" s="340"/>
      <c r="Z4169" s="340"/>
      <c r="AE4169" s="340"/>
      <c r="AI4169" s="340"/>
      <c r="AN4169" s="340"/>
      <c r="AO4169" s="340"/>
      <c r="AS4169" s="340"/>
      <c r="AX4169" s="340"/>
      <c r="BB4169" s="340"/>
      <c r="BD4169" s="339"/>
    </row>
    <row r="4170" spans="7:56" s="338" customFormat="1">
      <c r="G4170" s="340"/>
      <c r="L4170" s="340"/>
      <c r="P4170" s="340"/>
      <c r="U4170" s="340"/>
      <c r="V4170" s="340"/>
      <c r="Z4170" s="340"/>
      <c r="AE4170" s="340"/>
      <c r="AI4170" s="340"/>
      <c r="AN4170" s="340"/>
      <c r="AO4170" s="340"/>
      <c r="AS4170" s="340"/>
      <c r="AX4170" s="340"/>
      <c r="BB4170" s="340"/>
      <c r="BD4170" s="339"/>
    </row>
    <row r="4171" spans="7:56" s="338" customFormat="1">
      <c r="G4171" s="340"/>
      <c r="L4171" s="340"/>
      <c r="P4171" s="340"/>
      <c r="U4171" s="340"/>
      <c r="V4171" s="340"/>
      <c r="Z4171" s="340"/>
      <c r="AE4171" s="340"/>
      <c r="AI4171" s="340"/>
      <c r="AN4171" s="340"/>
      <c r="AO4171" s="340"/>
      <c r="AS4171" s="340"/>
      <c r="AX4171" s="340"/>
      <c r="BB4171" s="340"/>
      <c r="BD4171" s="339"/>
    </row>
    <row r="4172" spans="7:56" s="338" customFormat="1">
      <c r="G4172" s="340"/>
      <c r="L4172" s="340"/>
      <c r="P4172" s="340"/>
      <c r="U4172" s="340"/>
      <c r="V4172" s="340"/>
      <c r="Z4172" s="340"/>
      <c r="AE4172" s="340"/>
      <c r="AI4172" s="340"/>
      <c r="AN4172" s="340"/>
      <c r="AO4172" s="340"/>
      <c r="AS4172" s="340"/>
      <c r="AX4172" s="340"/>
      <c r="BB4172" s="340"/>
      <c r="BD4172" s="339"/>
    </row>
    <row r="4173" spans="7:56" s="338" customFormat="1">
      <c r="G4173" s="340"/>
      <c r="L4173" s="340"/>
      <c r="P4173" s="340"/>
      <c r="U4173" s="340"/>
      <c r="V4173" s="340"/>
      <c r="Z4173" s="340"/>
      <c r="AE4173" s="340"/>
      <c r="AI4173" s="340"/>
      <c r="AN4173" s="340"/>
      <c r="AO4173" s="340"/>
      <c r="AS4173" s="340"/>
      <c r="AX4173" s="340"/>
      <c r="BB4173" s="340"/>
      <c r="BD4173" s="339"/>
    </row>
    <row r="4174" spans="7:56" s="338" customFormat="1">
      <c r="G4174" s="340"/>
      <c r="L4174" s="340"/>
      <c r="P4174" s="340"/>
      <c r="U4174" s="340"/>
      <c r="V4174" s="340"/>
      <c r="Z4174" s="340"/>
      <c r="AE4174" s="340"/>
      <c r="AI4174" s="340"/>
      <c r="AN4174" s="340"/>
      <c r="AO4174" s="340"/>
      <c r="AS4174" s="340"/>
      <c r="AX4174" s="340"/>
      <c r="BB4174" s="340"/>
      <c r="BD4174" s="339"/>
    </row>
    <row r="4175" spans="7:56" s="338" customFormat="1">
      <c r="G4175" s="340"/>
      <c r="L4175" s="340"/>
      <c r="P4175" s="340"/>
      <c r="U4175" s="340"/>
      <c r="V4175" s="340"/>
      <c r="Z4175" s="340"/>
      <c r="AE4175" s="340"/>
      <c r="AI4175" s="340"/>
      <c r="AN4175" s="340"/>
      <c r="AO4175" s="340"/>
      <c r="AS4175" s="340"/>
      <c r="AX4175" s="340"/>
      <c r="BB4175" s="340"/>
      <c r="BD4175" s="339"/>
    </row>
    <row r="4176" spans="7:56" s="338" customFormat="1">
      <c r="G4176" s="340"/>
      <c r="L4176" s="340"/>
      <c r="P4176" s="340"/>
      <c r="U4176" s="340"/>
      <c r="V4176" s="340"/>
      <c r="Z4176" s="340"/>
      <c r="AE4176" s="340"/>
      <c r="AI4176" s="340"/>
      <c r="AN4176" s="340"/>
      <c r="AO4176" s="340"/>
      <c r="AS4176" s="340"/>
      <c r="AX4176" s="340"/>
      <c r="BB4176" s="340"/>
      <c r="BD4176" s="339"/>
    </row>
    <row r="4177" spans="7:56" s="338" customFormat="1">
      <c r="G4177" s="340"/>
      <c r="L4177" s="340"/>
      <c r="P4177" s="340"/>
      <c r="U4177" s="340"/>
      <c r="V4177" s="340"/>
      <c r="Z4177" s="340"/>
      <c r="AE4177" s="340"/>
      <c r="AI4177" s="340"/>
      <c r="AN4177" s="340"/>
      <c r="AO4177" s="340"/>
      <c r="AS4177" s="340"/>
      <c r="AX4177" s="340"/>
      <c r="BB4177" s="340"/>
      <c r="BD4177" s="339"/>
    </row>
    <row r="4178" spans="7:56" s="338" customFormat="1">
      <c r="G4178" s="340"/>
      <c r="L4178" s="340"/>
      <c r="P4178" s="340"/>
      <c r="U4178" s="340"/>
      <c r="V4178" s="340"/>
      <c r="Z4178" s="340"/>
      <c r="AE4178" s="340"/>
      <c r="AI4178" s="340"/>
      <c r="AN4178" s="340"/>
      <c r="AO4178" s="340"/>
      <c r="AS4178" s="340"/>
      <c r="AX4178" s="340"/>
      <c r="BB4178" s="340"/>
      <c r="BD4178" s="339"/>
    </row>
    <row r="4179" spans="7:56" s="338" customFormat="1">
      <c r="G4179" s="340"/>
      <c r="L4179" s="340"/>
      <c r="P4179" s="340"/>
      <c r="U4179" s="340"/>
      <c r="V4179" s="340"/>
      <c r="Z4179" s="340"/>
      <c r="AE4179" s="340"/>
      <c r="AI4179" s="340"/>
      <c r="AN4179" s="340"/>
      <c r="AO4179" s="340"/>
      <c r="AS4179" s="340"/>
      <c r="AX4179" s="340"/>
      <c r="BB4179" s="340"/>
      <c r="BD4179" s="339"/>
    </row>
    <row r="4180" spans="7:56" s="338" customFormat="1">
      <c r="G4180" s="340"/>
      <c r="L4180" s="340"/>
      <c r="P4180" s="340"/>
      <c r="U4180" s="340"/>
      <c r="V4180" s="340"/>
      <c r="Z4180" s="340"/>
      <c r="AE4180" s="340"/>
      <c r="AI4180" s="340"/>
      <c r="AN4180" s="340"/>
      <c r="AO4180" s="340"/>
      <c r="AS4180" s="340"/>
      <c r="AX4180" s="340"/>
      <c r="BB4180" s="340"/>
      <c r="BD4180" s="339"/>
    </row>
    <row r="4181" spans="7:56" s="338" customFormat="1">
      <c r="G4181" s="340"/>
      <c r="L4181" s="340"/>
      <c r="P4181" s="340"/>
      <c r="U4181" s="340"/>
      <c r="V4181" s="340"/>
      <c r="Z4181" s="340"/>
      <c r="AE4181" s="340"/>
      <c r="AI4181" s="340"/>
      <c r="AN4181" s="340"/>
      <c r="AO4181" s="340"/>
      <c r="AS4181" s="340"/>
      <c r="AX4181" s="340"/>
      <c r="BB4181" s="340"/>
      <c r="BD4181" s="339"/>
    </row>
    <row r="4182" spans="7:56" s="338" customFormat="1">
      <c r="G4182" s="340"/>
      <c r="L4182" s="340"/>
      <c r="P4182" s="340"/>
      <c r="U4182" s="340"/>
      <c r="V4182" s="340"/>
      <c r="Z4182" s="340"/>
      <c r="AE4182" s="340"/>
      <c r="AI4182" s="340"/>
      <c r="AN4182" s="340"/>
      <c r="AO4182" s="340"/>
      <c r="AS4182" s="340"/>
      <c r="AX4182" s="340"/>
      <c r="BB4182" s="340"/>
      <c r="BD4182" s="339"/>
    </row>
    <row r="4183" spans="7:56" s="338" customFormat="1">
      <c r="G4183" s="340"/>
      <c r="L4183" s="340"/>
      <c r="P4183" s="340"/>
      <c r="U4183" s="340"/>
      <c r="V4183" s="340"/>
      <c r="Z4183" s="340"/>
      <c r="AE4183" s="340"/>
      <c r="AI4183" s="340"/>
      <c r="AN4183" s="340"/>
      <c r="AO4183" s="340"/>
      <c r="AS4183" s="340"/>
      <c r="AX4183" s="340"/>
      <c r="BB4183" s="340"/>
      <c r="BD4183" s="339"/>
    </row>
    <row r="4184" spans="7:56" s="338" customFormat="1">
      <c r="G4184" s="340"/>
      <c r="L4184" s="340"/>
      <c r="P4184" s="340"/>
      <c r="U4184" s="340"/>
      <c r="V4184" s="340"/>
      <c r="Z4184" s="340"/>
      <c r="AE4184" s="340"/>
      <c r="AI4184" s="340"/>
      <c r="AN4184" s="340"/>
      <c r="AO4184" s="340"/>
      <c r="AS4184" s="340"/>
      <c r="AX4184" s="340"/>
      <c r="BB4184" s="340"/>
      <c r="BD4184" s="339"/>
    </row>
    <row r="4185" spans="7:56" s="338" customFormat="1">
      <c r="G4185" s="340"/>
      <c r="L4185" s="340"/>
      <c r="P4185" s="340"/>
      <c r="U4185" s="340"/>
      <c r="V4185" s="340"/>
      <c r="Z4185" s="340"/>
      <c r="AE4185" s="340"/>
      <c r="AI4185" s="340"/>
      <c r="AN4185" s="340"/>
      <c r="AO4185" s="340"/>
      <c r="AS4185" s="340"/>
      <c r="AX4185" s="340"/>
      <c r="BB4185" s="340"/>
      <c r="BD4185" s="339"/>
    </row>
    <row r="4186" spans="7:56" s="338" customFormat="1">
      <c r="G4186" s="340"/>
      <c r="L4186" s="340"/>
      <c r="P4186" s="340"/>
      <c r="U4186" s="340"/>
      <c r="V4186" s="340"/>
      <c r="Z4186" s="340"/>
      <c r="AE4186" s="340"/>
      <c r="AI4186" s="340"/>
      <c r="AN4186" s="340"/>
      <c r="AO4186" s="340"/>
      <c r="AS4186" s="340"/>
      <c r="AX4186" s="340"/>
      <c r="BB4186" s="340"/>
      <c r="BD4186" s="339"/>
    </row>
    <row r="4187" spans="7:56" s="338" customFormat="1">
      <c r="G4187" s="340"/>
      <c r="L4187" s="340"/>
      <c r="P4187" s="340"/>
      <c r="U4187" s="340"/>
      <c r="V4187" s="340"/>
      <c r="Z4187" s="340"/>
      <c r="AE4187" s="340"/>
      <c r="AI4187" s="340"/>
      <c r="AN4187" s="340"/>
      <c r="AO4187" s="340"/>
      <c r="AS4187" s="340"/>
      <c r="AX4187" s="340"/>
      <c r="BB4187" s="340"/>
      <c r="BD4187" s="339"/>
    </row>
    <row r="4188" spans="7:56" s="338" customFormat="1">
      <c r="G4188" s="340"/>
      <c r="L4188" s="340"/>
      <c r="P4188" s="340"/>
      <c r="U4188" s="340"/>
      <c r="V4188" s="340"/>
      <c r="Z4188" s="340"/>
      <c r="AE4188" s="340"/>
      <c r="AI4188" s="340"/>
      <c r="AN4188" s="340"/>
      <c r="AO4188" s="340"/>
      <c r="AS4188" s="340"/>
      <c r="AX4188" s="340"/>
      <c r="BB4188" s="340"/>
      <c r="BD4188" s="339"/>
    </row>
    <row r="4189" spans="7:56" s="338" customFormat="1">
      <c r="G4189" s="340"/>
      <c r="L4189" s="340"/>
      <c r="P4189" s="340"/>
      <c r="U4189" s="340"/>
      <c r="V4189" s="340"/>
      <c r="Z4189" s="340"/>
      <c r="AE4189" s="340"/>
      <c r="AI4189" s="340"/>
      <c r="AN4189" s="340"/>
      <c r="AO4189" s="340"/>
      <c r="AS4189" s="340"/>
      <c r="AX4189" s="340"/>
      <c r="BB4189" s="340"/>
      <c r="BD4189" s="339"/>
    </row>
    <row r="4190" spans="7:56" s="338" customFormat="1">
      <c r="G4190" s="340"/>
      <c r="L4190" s="340"/>
      <c r="P4190" s="340"/>
      <c r="U4190" s="340"/>
      <c r="V4190" s="340"/>
      <c r="Z4190" s="340"/>
      <c r="AE4190" s="340"/>
      <c r="AI4190" s="340"/>
      <c r="AN4190" s="340"/>
      <c r="AO4190" s="340"/>
      <c r="AS4190" s="340"/>
      <c r="AX4190" s="340"/>
      <c r="BB4190" s="340"/>
      <c r="BD4190" s="339"/>
    </row>
    <row r="4191" spans="7:56" s="338" customFormat="1">
      <c r="G4191" s="340"/>
      <c r="L4191" s="340"/>
      <c r="P4191" s="340"/>
      <c r="U4191" s="340"/>
      <c r="V4191" s="340"/>
      <c r="Z4191" s="340"/>
      <c r="AE4191" s="340"/>
      <c r="AI4191" s="340"/>
      <c r="AN4191" s="340"/>
      <c r="AO4191" s="340"/>
      <c r="AS4191" s="340"/>
      <c r="AX4191" s="340"/>
      <c r="BB4191" s="340"/>
      <c r="BD4191" s="339"/>
    </row>
    <row r="4192" spans="7:56" s="338" customFormat="1">
      <c r="G4192" s="340"/>
      <c r="L4192" s="340"/>
      <c r="P4192" s="340"/>
      <c r="U4192" s="340"/>
      <c r="V4192" s="340"/>
      <c r="Z4192" s="340"/>
      <c r="AE4192" s="340"/>
      <c r="AI4192" s="340"/>
      <c r="AN4192" s="340"/>
      <c r="AO4192" s="340"/>
      <c r="AS4192" s="340"/>
      <c r="AX4192" s="340"/>
      <c r="BB4192" s="340"/>
      <c r="BD4192" s="339"/>
    </row>
    <row r="4193" spans="7:56" s="338" customFormat="1">
      <c r="G4193" s="340"/>
      <c r="L4193" s="340"/>
      <c r="P4193" s="340"/>
      <c r="U4193" s="340"/>
      <c r="V4193" s="340"/>
      <c r="Z4193" s="340"/>
      <c r="AE4193" s="340"/>
      <c r="AI4193" s="340"/>
      <c r="AN4193" s="340"/>
      <c r="AO4193" s="340"/>
      <c r="AS4193" s="340"/>
      <c r="AX4193" s="340"/>
      <c r="BB4193" s="340"/>
      <c r="BD4193" s="339"/>
    </row>
    <row r="4194" spans="7:56" s="338" customFormat="1">
      <c r="G4194" s="340"/>
      <c r="L4194" s="340"/>
      <c r="P4194" s="340"/>
      <c r="U4194" s="340"/>
      <c r="V4194" s="340"/>
      <c r="Z4194" s="340"/>
      <c r="AE4194" s="340"/>
      <c r="AI4194" s="340"/>
      <c r="AN4194" s="340"/>
      <c r="AO4194" s="340"/>
      <c r="AS4194" s="340"/>
      <c r="AX4194" s="340"/>
      <c r="BB4194" s="340"/>
      <c r="BD4194" s="339"/>
    </row>
    <row r="4195" spans="7:56" s="338" customFormat="1">
      <c r="G4195" s="340"/>
      <c r="L4195" s="340"/>
      <c r="P4195" s="340"/>
      <c r="U4195" s="340"/>
      <c r="V4195" s="340"/>
      <c r="Z4195" s="340"/>
      <c r="AE4195" s="340"/>
      <c r="AI4195" s="340"/>
      <c r="AN4195" s="340"/>
      <c r="AO4195" s="340"/>
      <c r="AS4195" s="340"/>
      <c r="AX4195" s="340"/>
      <c r="BB4195" s="340"/>
      <c r="BD4195" s="339"/>
    </row>
    <row r="4196" spans="7:56" s="338" customFormat="1">
      <c r="G4196" s="340"/>
      <c r="L4196" s="340"/>
      <c r="P4196" s="340"/>
      <c r="U4196" s="340"/>
      <c r="V4196" s="340"/>
      <c r="Z4196" s="340"/>
      <c r="AE4196" s="340"/>
      <c r="AI4196" s="340"/>
      <c r="AN4196" s="340"/>
      <c r="AO4196" s="340"/>
      <c r="AS4196" s="340"/>
      <c r="AX4196" s="340"/>
      <c r="BB4196" s="340"/>
      <c r="BD4196" s="339"/>
    </row>
    <row r="4197" spans="7:56" s="338" customFormat="1">
      <c r="G4197" s="340"/>
      <c r="L4197" s="340"/>
      <c r="P4197" s="340"/>
      <c r="U4197" s="340"/>
      <c r="V4197" s="340"/>
      <c r="Z4197" s="340"/>
      <c r="AE4197" s="340"/>
      <c r="AI4197" s="340"/>
      <c r="AN4197" s="340"/>
      <c r="AO4197" s="340"/>
      <c r="AS4197" s="340"/>
      <c r="AX4197" s="340"/>
      <c r="BB4197" s="340"/>
      <c r="BD4197" s="339"/>
    </row>
    <row r="4198" spans="7:56" s="338" customFormat="1">
      <c r="G4198" s="340"/>
      <c r="L4198" s="340"/>
      <c r="P4198" s="340"/>
      <c r="U4198" s="340"/>
      <c r="V4198" s="340"/>
      <c r="Z4198" s="340"/>
      <c r="AE4198" s="340"/>
      <c r="AI4198" s="340"/>
      <c r="AN4198" s="340"/>
      <c r="AO4198" s="340"/>
      <c r="AS4198" s="340"/>
      <c r="AX4198" s="340"/>
      <c r="BB4198" s="340"/>
      <c r="BD4198" s="339"/>
    </row>
    <row r="4199" spans="7:56" s="338" customFormat="1">
      <c r="G4199" s="340"/>
      <c r="L4199" s="340"/>
      <c r="P4199" s="340"/>
      <c r="U4199" s="340"/>
      <c r="V4199" s="340"/>
      <c r="Z4199" s="340"/>
      <c r="AE4199" s="340"/>
      <c r="AI4199" s="340"/>
      <c r="AN4199" s="340"/>
      <c r="AO4199" s="340"/>
      <c r="AS4199" s="340"/>
      <c r="AX4199" s="340"/>
      <c r="BB4199" s="340"/>
      <c r="BD4199" s="339"/>
    </row>
    <row r="4200" spans="7:56" s="338" customFormat="1">
      <c r="G4200" s="340"/>
      <c r="L4200" s="340"/>
      <c r="P4200" s="340"/>
      <c r="U4200" s="340"/>
      <c r="V4200" s="340"/>
      <c r="Z4200" s="340"/>
      <c r="AE4200" s="340"/>
      <c r="AI4200" s="340"/>
      <c r="AN4200" s="340"/>
      <c r="AO4200" s="340"/>
      <c r="AS4200" s="340"/>
      <c r="AX4200" s="340"/>
      <c r="BB4200" s="340"/>
      <c r="BD4200" s="339"/>
    </row>
    <row r="4201" spans="7:56" s="338" customFormat="1">
      <c r="G4201" s="340"/>
      <c r="L4201" s="340"/>
      <c r="P4201" s="340"/>
      <c r="U4201" s="340"/>
      <c r="V4201" s="340"/>
      <c r="Z4201" s="340"/>
      <c r="AE4201" s="340"/>
      <c r="AI4201" s="340"/>
      <c r="AN4201" s="340"/>
      <c r="AO4201" s="340"/>
      <c r="AS4201" s="340"/>
      <c r="AX4201" s="340"/>
      <c r="BB4201" s="340"/>
      <c r="BD4201" s="339"/>
    </row>
    <row r="4202" spans="7:56" s="338" customFormat="1">
      <c r="G4202" s="340"/>
      <c r="L4202" s="340"/>
      <c r="P4202" s="340"/>
      <c r="U4202" s="340"/>
      <c r="V4202" s="340"/>
      <c r="Z4202" s="340"/>
      <c r="AE4202" s="340"/>
      <c r="AI4202" s="340"/>
      <c r="AN4202" s="340"/>
      <c r="AO4202" s="340"/>
      <c r="AS4202" s="340"/>
      <c r="AX4202" s="340"/>
      <c r="BB4202" s="340"/>
      <c r="BD4202" s="339"/>
    </row>
    <row r="4203" spans="7:56" s="338" customFormat="1">
      <c r="G4203" s="340"/>
      <c r="L4203" s="340"/>
      <c r="P4203" s="340"/>
      <c r="U4203" s="340"/>
      <c r="V4203" s="340"/>
      <c r="Z4203" s="340"/>
      <c r="AE4203" s="340"/>
      <c r="AI4203" s="340"/>
      <c r="AN4203" s="340"/>
      <c r="AO4203" s="340"/>
      <c r="AS4203" s="340"/>
      <c r="AX4203" s="340"/>
      <c r="BB4203" s="340"/>
      <c r="BD4203" s="339"/>
    </row>
    <row r="4204" spans="7:56" s="338" customFormat="1">
      <c r="G4204" s="340"/>
      <c r="L4204" s="340"/>
      <c r="P4204" s="340"/>
      <c r="U4204" s="340"/>
      <c r="V4204" s="340"/>
      <c r="Z4204" s="340"/>
      <c r="AE4204" s="340"/>
      <c r="AI4204" s="340"/>
      <c r="AN4204" s="340"/>
      <c r="AO4204" s="340"/>
      <c r="AS4204" s="340"/>
      <c r="AX4204" s="340"/>
      <c r="BB4204" s="340"/>
      <c r="BD4204" s="339"/>
    </row>
    <row r="4205" spans="7:56" s="338" customFormat="1">
      <c r="G4205" s="340"/>
      <c r="L4205" s="340"/>
      <c r="P4205" s="340"/>
      <c r="U4205" s="340"/>
      <c r="V4205" s="340"/>
      <c r="Z4205" s="340"/>
      <c r="AE4205" s="340"/>
      <c r="AI4205" s="340"/>
      <c r="AN4205" s="340"/>
      <c r="AO4205" s="340"/>
      <c r="AS4205" s="340"/>
      <c r="AX4205" s="340"/>
      <c r="BB4205" s="340"/>
      <c r="BD4205" s="339"/>
    </row>
    <row r="4206" spans="7:56" s="338" customFormat="1">
      <c r="G4206" s="340"/>
      <c r="L4206" s="340"/>
      <c r="P4206" s="340"/>
      <c r="U4206" s="340"/>
      <c r="V4206" s="340"/>
      <c r="Z4206" s="340"/>
      <c r="AE4206" s="340"/>
      <c r="AI4206" s="340"/>
      <c r="AN4206" s="340"/>
      <c r="AO4206" s="340"/>
      <c r="AS4206" s="340"/>
      <c r="AX4206" s="340"/>
      <c r="BB4206" s="340"/>
      <c r="BD4206" s="339"/>
    </row>
    <row r="4207" spans="7:56" s="338" customFormat="1">
      <c r="G4207" s="340"/>
      <c r="L4207" s="340"/>
      <c r="P4207" s="340"/>
      <c r="U4207" s="340"/>
      <c r="V4207" s="340"/>
      <c r="Z4207" s="340"/>
      <c r="AE4207" s="340"/>
      <c r="AI4207" s="340"/>
      <c r="AN4207" s="340"/>
      <c r="AO4207" s="340"/>
      <c r="AS4207" s="340"/>
      <c r="AX4207" s="340"/>
      <c r="BB4207" s="340"/>
      <c r="BD4207" s="339"/>
    </row>
    <row r="4208" spans="7:56" s="338" customFormat="1">
      <c r="G4208" s="340"/>
      <c r="L4208" s="340"/>
      <c r="P4208" s="340"/>
      <c r="U4208" s="340"/>
      <c r="V4208" s="340"/>
      <c r="Z4208" s="340"/>
      <c r="AE4208" s="340"/>
      <c r="AI4208" s="340"/>
      <c r="AN4208" s="340"/>
      <c r="AO4208" s="340"/>
      <c r="AS4208" s="340"/>
      <c r="AX4208" s="340"/>
      <c r="BB4208" s="340"/>
      <c r="BD4208" s="339"/>
    </row>
    <row r="4209" spans="7:56" s="338" customFormat="1">
      <c r="G4209" s="340"/>
      <c r="L4209" s="340"/>
      <c r="P4209" s="340"/>
      <c r="U4209" s="340"/>
      <c r="V4209" s="340"/>
      <c r="Z4209" s="340"/>
      <c r="AE4209" s="340"/>
      <c r="AI4209" s="340"/>
      <c r="AN4209" s="340"/>
      <c r="AO4209" s="340"/>
      <c r="AS4209" s="340"/>
      <c r="AX4209" s="340"/>
      <c r="BB4209" s="340"/>
      <c r="BD4209" s="339"/>
    </row>
    <row r="4210" spans="7:56" s="338" customFormat="1">
      <c r="G4210" s="340"/>
      <c r="L4210" s="340"/>
      <c r="P4210" s="340"/>
      <c r="U4210" s="340"/>
      <c r="V4210" s="340"/>
      <c r="Z4210" s="340"/>
      <c r="AE4210" s="340"/>
      <c r="AI4210" s="340"/>
      <c r="AN4210" s="340"/>
      <c r="AO4210" s="340"/>
      <c r="AS4210" s="340"/>
      <c r="AX4210" s="340"/>
      <c r="BB4210" s="340"/>
      <c r="BD4210" s="339"/>
    </row>
    <row r="4211" spans="7:56" s="338" customFormat="1">
      <c r="G4211" s="340"/>
      <c r="L4211" s="340"/>
      <c r="P4211" s="340"/>
      <c r="U4211" s="340"/>
      <c r="V4211" s="340"/>
      <c r="Z4211" s="340"/>
      <c r="AE4211" s="340"/>
      <c r="AI4211" s="340"/>
      <c r="AN4211" s="340"/>
      <c r="AO4211" s="340"/>
      <c r="AS4211" s="340"/>
      <c r="AX4211" s="340"/>
      <c r="BB4211" s="340"/>
      <c r="BD4211" s="339"/>
    </row>
    <row r="4212" spans="7:56" s="338" customFormat="1">
      <c r="G4212" s="340"/>
      <c r="L4212" s="340"/>
      <c r="P4212" s="340"/>
      <c r="U4212" s="340"/>
      <c r="V4212" s="340"/>
      <c r="Z4212" s="340"/>
      <c r="AE4212" s="340"/>
      <c r="AI4212" s="340"/>
      <c r="AN4212" s="340"/>
      <c r="AO4212" s="340"/>
      <c r="AS4212" s="340"/>
      <c r="AX4212" s="340"/>
      <c r="BB4212" s="340"/>
      <c r="BD4212" s="339"/>
    </row>
    <row r="4213" spans="7:56" s="338" customFormat="1">
      <c r="G4213" s="340"/>
      <c r="L4213" s="340"/>
      <c r="P4213" s="340"/>
      <c r="U4213" s="340"/>
      <c r="V4213" s="340"/>
      <c r="Z4213" s="340"/>
      <c r="AE4213" s="340"/>
      <c r="AI4213" s="340"/>
      <c r="AN4213" s="340"/>
      <c r="AO4213" s="340"/>
      <c r="AS4213" s="340"/>
      <c r="AX4213" s="340"/>
      <c r="BB4213" s="340"/>
      <c r="BD4213" s="339"/>
    </row>
    <row r="4214" spans="7:56" s="338" customFormat="1">
      <c r="G4214" s="340"/>
      <c r="L4214" s="340"/>
      <c r="P4214" s="340"/>
      <c r="U4214" s="340"/>
      <c r="V4214" s="340"/>
      <c r="Z4214" s="340"/>
      <c r="AE4214" s="340"/>
      <c r="AI4214" s="340"/>
      <c r="AN4214" s="340"/>
      <c r="AO4214" s="340"/>
      <c r="AS4214" s="340"/>
      <c r="AX4214" s="340"/>
      <c r="BB4214" s="340"/>
      <c r="BD4214" s="339"/>
    </row>
    <row r="4215" spans="7:56" s="338" customFormat="1">
      <c r="G4215" s="340"/>
      <c r="L4215" s="340"/>
      <c r="P4215" s="340"/>
      <c r="U4215" s="340"/>
      <c r="V4215" s="340"/>
      <c r="Z4215" s="340"/>
      <c r="AE4215" s="340"/>
      <c r="AI4215" s="340"/>
      <c r="AN4215" s="340"/>
      <c r="AO4215" s="340"/>
      <c r="AS4215" s="340"/>
      <c r="AX4215" s="340"/>
      <c r="BB4215" s="340"/>
      <c r="BD4215" s="339"/>
    </row>
    <row r="4216" spans="7:56" s="338" customFormat="1">
      <c r="G4216" s="340"/>
      <c r="L4216" s="340"/>
      <c r="P4216" s="340"/>
      <c r="U4216" s="340"/>
      <c r="V4216" s="340"/>
      <c r="Z4216" s="340"/>
      <c r="AE4216" s="340"/>
      <c r="AI4216" s="340"/>
      <c r="AN4216" s="340"/>
      <c r="AO4216" s="340"/>
      <c r="AS4216" s="340"/>
      <c r="AX4216" s="340"/>
      <c r="BB4216" s="340"/>
      <c r="BD4216" s="339"/>
    </row>
    <row r="4217" spans="7:56" s="338" customFormat="1">
      <c r="G4217" s="340"/>
      <c r="L4217" s="340"/>
      <c r="P4217" s="340"/>
      <c r="U4217" s="340"/>
      <c r="V4217" s="340"/>
      <c r="Z4217" s="340"/>
      <c r="AE4217" s="340"/>
      <c r="AI4217" s="340"/>
      <c r="AN4217" s="340"/>
      <c r="AO4217" s="340"/>
      <c r="AS4217" s="340"/>
      <c r="AX4217" s="340"/>
      <c r="BB4217" s="340"/>
      <c r="BD4217" s="339"/>
    </row>
    <row r="4218" spans="7:56" s="338" customFormat="1">
      <c r="G4218" s="340"/>
      <c r="L4218" s="340"/>
      <c r="P4218" s="340"/>
      <c r="U4218" s="340"/>
      <c r="V4218" s="340"/>
      <c r="Z4218" s="340"/>
      <c r="AE4218" s="340"/>
      <c r="AI4218" s="340"/>
      <c r="AN4218" s="340"/>
      <c r="AO4218" s="340"/>
      <c r="AS4218" s="340"/>
      <c r="AX4218" s="340"/>
      <c r="BB4218" s="340"/>
      <c r="BD4218" s="339"/>
    </row>
    <row r="4219" spans="7:56" s="338" customFormat="1">
      <c r="G4219" s="340"/>
      <c r="L4219" s="340"/>
      <c r="P4219" s="340"/>
      <c r="U4219" s="340"/>
      <c r="V4219" s="340"/>
      <c r="Z4219" s="340"/>
      <c r="AE4219" s="340"/>
      <c r="AI4219" s="340"/>
      <c r="AN4219" s="340"/>
      <c r="AO4219" s="340"/>
      <c r="AS4219" s="340"/>
      <c r="AX4219" s="340"/>
      <c r="BB4219" s="340"/>
      <c r="BD4219" s="339"/>
    </row>
    <row r="4220" spans="7:56" s="338" customFormat="1">
      <c r="G4220" s="340"/>
      <c r="L4220" s="340"/>
      <c r="P4220" s="340"/>
      <c r="U4220" s="340"/>
      <c r="V4220" s="340"/>
      <c r="Z4220" s="340"/>
      <c r="AE4220" s="340"/>
      <c r="AI4220" s="340"/>
      <c r="AN4220" s="340"/>
      <c r="AO4220" s="340"/>
      <c r="AS4220" s="340"/>
      <c r="AX4220" s="340"/>
      <c r="BB4220" s="340"/>
      <c r="BD4220" s="339"/>
    </row>
    <row r="4221" spans="7:56" s="338" customFormat="1">
      <c r="G4221" s="340"/>
      <c r="L4221" s="340"/>
      <c r="P4221" s="340"/>
      <c r="U4221" s="340"/>
      <c r="V4221" s="340"/>
      <c r="Z4221" s="340"/>
      <c r="AE4221" s="340"/>
      <c r="AI4221" s="340"/>
      <c r="AN4221" s="340"/>
      <c r="AO4221" s="340"/>
      <c r="AS4221" s="340"/>
      <c r="AX4221" s="340"/>
      <c r="BB4221" s="340"/>
      <c r="BD4221" s="339"/>
    </row>
    <row r="4222" spans="7:56" s="338" customFormat="1">
      <c r="G4222" s="340"/>
      <c r="L4222" s="340"/>
      <c r="P4222" s="340"/>
      <c r="U4222" s="340"/>
      <c r="V4222" s="340"/>
      <c r="Z4222" s="340"/>
      <c r="AE4222" s="340"/>
      <c r="AI4222" s="340"/>
      <c r="AN4222" s="340"/>
      <c r="AO4222" s="340"/>
      <c r="AS4222" s="340"/>
      <c r="AX4222" s="340"/>
      <c r="BB4222" s="340"/>
      <c r="BD4222" s="339"/>
    </row>
    <row r="4223" spans="7:56" s="338" customFormat="1">
      <c r="G4223" s="340"/>
      <c r="L4223" s="340"/>
      <c r="P4223" s="340"/>
      <c r="U4223" s="340"/>
      <c r="V4223" s="340"/>
      <c r="Z4223" s="340"/>
      <c r="AE4223" s="340"/>
      <c r="AI4223" s="340"/>
      <c r="AN4223" s="340"/>
      <c r="AO4223" s="340"/>
      <c r="AS4223" s="340"/>
      <c r="AX4223" s="340"/>
      <c r="BB4223" s="340"/>
      <c r="BD4223" s="339"/>
    </row>
    <row r="4224" spans="7:56" s="338" customFormat="1">
      <c r="G4224" s="340"/>
      <c r="L4224" s="340"/>
      <c r="P4224" s="340"/>
      <c r="U4224" s="340"/>
      <c r="V4224" s="340"/>
      <c r="Z4224" s="340"/>
      <c r="AE4224" s="340"/>
      <c r="AI4224" s="340"/>
      <c r="AN4224" s="340"/>
      <c r="AO4224" s="340"/>
      <c r="AS4224" s="340"/>
      <c r="AX4224" s="340"/>
      <c r="BB4224" s="340"/>
      <c r="BD4224" s="339"/>
    </row>
    <row r="4225" spans="7:56" s="338" customFormat="1">
      <c r="G4225" s="340"/>
      <c r="L4225" s="340"/>
      <c r="P4225" s="340"/>
      <c r="U4225" s="340"/>
      <c r="V4225" s="340"/>
      <c r="Z4225" s="340"/>
      <c r="AE4225" s="340"/>
      <c r="AI4225" s="340"/>
      <c r="AN4225" s="340"/>
      <c r="AO4225" s="340"/>
      <c r="AS4225" s="340"/>
      <c r="AX4225" s="340"/>
      <c r="BB4225" s="340"/>
      <c r="BD4225" s="339"/>
    </row>
    <row r="4226" spans="7:56" s="338" customFormat="1">
      <c r="G4226" s="340"/>
      <c r="L4226" s="340"/>
      <c r="P4226" s="340"/>
      <c r="U4226" s="340"/>
      <c r="V4226" s="340"/>
      <c r="Z4226" s="340"/>
      <c r="AE4226" s="340"/>
      <c r="AI4226" s="340"/>
      <c r="AN4226" s="340"/>
      <c r="AO4226" s="340"/>
      <c r="AS4226" s="340"/>
      <c r="AX4226" s="340"/>
      <c r="BB4226" s="340"/>
      <c r="BD4226" s="339"/>
    </row>
    <row r="4227" spans="7:56" s="338" customFormat="1">
      <c r="G4227" s="340"/>
      <c r="L4227" s="340"/>
      <c r="P4227" s="340"/>
      <c r="U4227" s="340"/>
      <c r="V4227" s="340"/>
      <c r="Z4227" s="340"/>
      <c r="AE4227" s="340"/>
      <c r="AI4227" s="340"/>
      <c r="AN4227" s="340"/>
      <c r="AO4227" s="340"/>
      <c r="AS4227" s="340"/>
      <c r="AX4227" s="340"/>
      <c r="BB4227" s="340"/>
      <c r="BD4227" s="339"/>
    </row>
    <row r="4228" spans="7:56" s="338" customFormat="1">
      <c r="G4228" s="340"/>
      <c r="L4228" s="340"/>
      <c r="P4228" s="340"/>
      <c r="U4228" s="340"/>
      <c r="V4228" s="340"/>
      <c r="Z4228" s="340"/>
      <c r="AE4228" s="340"/>
      <c r="AI4228" s="340"/>
      <c r="AN4228" s="340"/>
      <c r="AO4228" s="340"/>
      <c r="AS4228" s="340"/>
      <c r="AX4228" s="340"/>
      <c r="BB4228" s="340"/>
      <c r="BD4228" s="339"/>
    </row>
    <row r="4229" spans="7:56" s="338" customFormat="1">
      <c r="G4229" s="340"/>
      <c r="L4229" s="340"/>
      <c r="P4229" s="340"/>
      <c r="U4229" s="340"/>
      <c r="V4229" s="340"/>
      <c r="Z4229" s="340"/>
      <c r="AE4229" s="340"/>
      <c r="AI4229" s="340"/>
      <c r="AN4229" s="340"/>
      <c r="AO4229" s="340"/>
      <c r="AS4229" s="340"/>
      <c r="AX4229" s="340"/>
      <c r="BB4229" s="340"/>
      <c r="BD4229" s="339"/>
    </row>
    <row r="4230" spans="7:56" s="338" customFormat="1">
      <c r="G4230" s="340"/>
      <c r="L4230" s="340"/>
      <c r="P4230" s="340"/>
      <c r="U4230" s="340"/>
      <c r="V4230" s="340"/>
      <c r="Z4230" s="340"/>
      <c r="AE4230" s="340"/>
      <c r="AI4230" s="340"/>
      <c r="AN4230" s="340"/>
      <c r="AO4230" s="340"/>
      <c r="AS4230" s="340"/>
      <c r="AX4230" s="340"/>
      <c r="BB4230" s="340"/>
      <c r="BD4230" s="339"/>
    </row>
    <row r="4231" spans="7:56" s="338" customFormat="1">
      <c r="G4231" s="340"/>
      <c r="L4231" s="340"/>
      <c r="P4231" s="340"/>
      <c r="U4231" s="340"/>
      <c r="V4231" s="340"/>
      <c r="Z4231" s="340"/>
      <c r="AE4231" s="340"/>
      <c r="AI4231" s="340"/>
      <c r="AN4231" s="340"/>
      <c r="AO4231" s="340"/>
      <c r="AS4231" s="340"/>
      <c r="AX4231" s="340"/>
      <c r="BB4231" s="340"/>
      <c r="BD4231" s="339"/>
    </row>
    <row r="4232" spans="7:56" s="338" customFormat="1">
      <c r="G4232" s="340"/>
      <c r="L4232" s="340"/>
      <c r="P4232" s="340"/>
      <c r="U4232" s="340"/>
      <c r="V4232" s="340"/>
      <c r="Z4232" s="340"/>
      <c r="AE4232" s="340"/>
      <c r="AI4232" s="340"/>
      <c r="AN4232" s="340"/>
      <c r="AO4232" s="340"/>
      <c r="AS4232" s="340"/>
      <c r="AX4232" s="340"/>
      <c r="BB4232" s="340"/>
      <c r="BD4232" s="339"/>
    </row>
    <row r="4233" spans="7:56" s="338" customFormat="1">
      <c r="G4233" s="340"/>
      <c r="L4233" s="340"/>
      <c r="P4233" s="340"/>
      <c r="U4233" s="340"/>
      <c r="V4233" s="340"/>
      <c r="Z4233" s="340"/>
      <c r="AE4233" s="340"/>
      <c r="AI4233" s="340"/>
      <c r="AN4233" s="340"/>
      <c r="AO4233" s="340"/>
      <c r="AS4233" s="340"/>
      <c r="AX4233" s="340"/>
      <c r="BB4233" s="340"/>
      <c r="BD4233" s="339"/>
    </row>
    <row r="4234" spans="7:56" s="338" customFormat="1">
      <c r="G4234" s="340"/>
      <c r="L4234" s="340"/>
      <c r="P4234" s="340"/>
      <c r="U4234" s="340"/>
      <c r="V4234" s="340"/>
      <c r="Z4234" s="340"/>
      <c r="AE4234" s="340"/>
      <c r="AI4234" s="340"/>
      <c r="AN4234" s="340"/>
      <c r="AO4234" s="340"/>
      <c r="AS4234" s="340"/>
      <c r="AX4234" s="340"/>
      <c r="BB4234" s="340"/>
      <c r="BD4234" s="339"/>
    </row>
    <row r="4235" spans="7:56" s="338" customFormat="1">
      <c r="G4235" s="340"/>
      <c r="L4235" s="340"/>
      <c r="P4235" s="340"/>
      <c r="U4235" s="340"/>
      <c r="V4235" s="340"/>
      <c r="Z4235" s="340"/>
      <c r="AE4235" s="340"/>
      <c r="AI4235" s="340"/>
      <c r="AN4235" s="340"/>
      <c r="AO4235" s="340"/>
      <c r="AS4235" s="340"/>
      <c r="AX4235" s="340"/>
      <c r="BB4235" s="340"/>
      <c r="BD4235" s="339"/>
    </row>
    <row r="4236" spans="7:56" s="338" customFormat="1">
      <c r="G4236" s="340"/>
      <c r="L4236" s="340"/>
      <c r="P4236" s="340"/>
      <c r="U4236" s="340"/>
      <c r="V4236" s="340"/>
      <c r="Z4236" s="340"/>
      <c r="AE4236" s="340"/>
      <c r="AI4236" s="340"/>
      <c r="AN4236" s="340"/>
      <c r="AO4236" s="340"/>
      <c r="AS4236" s="340"/>
      <c r="AX4236" s="340"/>
      <c r="BB4236" s="340"/>
      <c r="BD4236" s="339"/>
    </row>
    <row r="4237" spans="7:56" s="338" customFormat="1">
      <c r="G4237" s="340"/>
      <c r="L4237" s="340"/>
      <c r="P4237" s="340"/>
      <c r="U4237" s="340"/>
      <c r="V4237" s="340"/>
      <c r="Z4237" s="340"/>
      <c r="AE4237" s="340"/>
      <c r="AI4237" s="340"/>
      <c r="AN4237" s="340"/>
      <c r="AO4237" s="340"/>
      <c r="AS4237" s="340"/>
      <c r="AX4237" s="340"/>
      <c r="BB4237" s="340"/>
      <c r="BD4237" s="339"/>
    </row>
    <row r="4238" spans="7:56" s="338" customFormat="1">
      <c r="G4238" s="340"/>
      <c r="L4238" s="340"/>
      <c r="P4238" s="340"/>
      <c r="U4238" s="340"/>
      <c r="V4238" s="340"/>
      <c r="Z4238" s="340"/>
      <c r="AE4238" s="340"/>
      <c r="AI4238" s="340"/>
      <c r="AN4238" s="340"/>
      <c r="AO4238" s="340"/>
      <c r="AS4238" s="340"/>
      <c r="AX4238" s="340"/>
      <c r="BB4238" s="340"/>
      <c r="BD4238" s="339"/>
    </row>
    <row r="4239" spans="7:56" s="338" customFormat="1">
      <c r="G4239" s="340"/>
      <c r="L4239" s="340"/>
      <c r="P4239" s="340"/>
      <c r="U4239" s="340"/>
      <c r="V4239" s="340"/>
      <c r="Z4239" s="340"/>
      <c r="AE4239" s="340"/>
      <c r="AI4239" s="340"/>
      <c r="AN4239" s="340"/>
      <c r="AO4239" s="340"/>
      <c r="AS4239" s="340"/>
      <c r="AX4239" s="340"/>
      <c r="BB4239" s="340"/>
      <c r="BD4239" s="339"/>
    </row>
    <row r="4240" spans="7:56" s="338" customFormat="1">
      <c r="G4240" s="340"/>
      <c r="L4240" s="340"/>
      <c r="P4240" s="340"/>
      <c r="U4240" s="340"/>
      <c r="V4240" s="340"/>
      <c r="Z4240" s="340"/>
      <c r="AE4240" s="340"/>
      <c r="AI4240" s="340"/>
      <c r="AN4240" s="340"/>
      <c r="AO4240" s="340"/>
      <c r="AS4240" s="340"/>
      <c r="AX4240" s="340"/>
      <c r="BB4240" s="340"/>
      <c r="BD4240" s="339"/>
    </row>
    <row r="4241" spans="7:56" s="338" customFormat="1">
      <c r="G4241" s="340"/>
      <c r="L4241" s="340"/>
      <c r="P4241" s="340"/>
      <c r="U4241" s="340"/>
      <c r="V4241" s="340"/>
      <c r="Z4241" s="340"/>
      <c r="AE4241" s="340"/>
      <c r="AI4241" s="340"/>
      <c r="AN4241" s="340"/>
      <c r="AO4241" s="340"/>
      <c r="AS4241" s="340"/>
      <c r="AX4241" s="340"/>
      <c r="BB4241" s="340"/>
      <c r="BD4241" s="339"/>
    </row>
    <row r="4242" spans="7:56" s="338" customFormat="1">
      <c r="G4242" s="340"/>
      <c r="L4242" s="340"/>
      <c r="P4242" s="340"/>
      <c r="U4242" s="340"/>
      <c r="V4242" s="340"/>
      <c r="Z4242" s="340"/>
      <c r="AE4242" s="340"/>
      <c r="AI4242" s="340"/>
      <c r="AN4242" s="340"/>
      <c r="AO4242" s="340"/>
      <c r="AS4242" s="340"/>
      <c r="AX4242" s="340"/>
      <c r="BB4242" s="340"/>
      <c r="BD4242" s="339"/>
    </row>
    <row r="4243" spans="7:56" s="338" customFormat="1">
      <c r="G4243" s="340"/>
      <c r="L4243" s="340"/>
      <c r="P4243" s="340"/>
      <c r="U4243" s="340"/>
      <c r="V4243" s="340"/>
      <c r="Z4243" s="340"/>
      <c r="AE4243" s="340"/>
      <c r="AI4243" s="340"/>
      <c r="AN4243" s="340"/>
      <c r="AO4243" s="340"/>
      <c r="AS4243" s="340"/>
      <c r="AX4243" s="340"/>
      <c r="BB4243" s="340"/>
      <c r="BD4243" s="339"/>
    </row>
    <row r="4244" spans="7:56" s="338" customFormat="1">
      <c r="G4244" s="340"/>
      <c r="L4244" s="340"/>
      <c r="P4244" s="340"/>
      <c r="U4244" s="340"/>
      <c r="V4244" s="340"/>
      <c r="Z4244" s="340"/>
      <c r="AE4244" s="340"/>
      <c r="AI4244" s="340"/>
      <c r="AN4244" s="340"/>
      <c r="AO4244" s="340"/>
      <c r="AS4244" s="340"/>
      <c r="AX4244" s="340"/>
      <c r="BB4244" s="340"/>
      <c r="BD4244" s="339"/>
    </row>
    <row r="4245" spans="7:56" s="338" customFormat="1">
      <c r="G4245" s="340"/>
      <c r="L4245" s="340"/>
      <c r="P4245" s="340"/>
      <c r="U4245" s="340"/>
      <c r="V4245" s="340"/>
      <c r="Z4245" s="340"/>
      <c r="AE4245" s="340"/>
      <c r="AI4245" s="340"/>
      <c r="AN4245" s="340"/>
      <c r="AO4245" s="340"/>
      <c r="AS4245" s="340"/>
      <c r="AX4245" s="340"/>
      <c r="BB4245" s="340"/>
      <c r="BD4245" s="339"/>
    </row>
    <row r="4246" spans="7:56" s="338" customFormat="1">
      <c r="G4246" s="340"/>
      <c r="L4246" s="340"/>
      <c r="P4246" s="340"/>
      <c r="U4246" s="340"/>
      <c r="V4246" s="340"/>
      <c r="Z4246" s="340"/>
      <c r="AE4246" s="340"/>
      <c r="AI4246" s="340"/>
      <c r="AN4246" s="340"/>
      <c r="AO4246" s="340"/>
      <c r="AS4246" s="340"/>
      <c r="AX4246" s="340"/>
      <c r="BB4246" s="340"/>
      <c r="BD4246" s="339"/>
    </row>
    <row r="4247" spans="7:56" s="338" customFormat="1">
      <c r="G4247" s="340"/>
      <c r="L4247" s="340"/>
      <c r="P4247" s="340"/>
      <c r="U4247" s="340"/>
      <c r="V4247" s="340"/>
      <c r="Z4247" s="340"/>
      <c r="AE4247" s="340"/>
      <c r="AI4247" s="340"/>
      <c r="AN4247" s="340"/>
      <c r="AO4247" s="340"/>
      <c r="AS4247" s="340"/>
      <c r="AX4247" s="340"/>
      <c r="BB4247" s="340"/>
      <c r="BD4247" s="339"/>
    </row>
    <row r="4248" spans="7:56" s="338" customFormat="1">
      <c r="G4248" s="340"/>
      <c r="L4248" s="340"/>
      <c r="P4248" s="340"/>
      <c r="U4248" s="340"/>
      <c r="V4248" s="340"/>
      <c r="Z4248" s="340"/>
      <c r="AE4248" s="340"/>
      <c r="AI4248" s="340"/>
      <c r="AN4248" s="340"/>
      <c r="AO4248" s="340"/>
      <c r="AS4248" s="340"/>
      <c r="AX4248" s="340"/>
      <c r="BB4248" s="340"/>
      <c r="BD4248" s="339"/>
    </row>
    <row r="4249" spans="7:56" s="338" customFormat="1">
      <c r="G4249" s="340"/>
      <c r="L4249" s="340"/>
      <c r="P4249" s="340"/>
      <c r="U4249" s="340"/>
      <c r="V4249" s="340"/>
      <c r="Z4249" s="340"/>
      <c r="AE4249" s="340"/>
      <c r="AI4249" s="340"/>
      <c r="AN4249" s="340"/>
      <c r="AO4249" s="340"/>
      <c r="AS4249" s="340"/>
      <c r="AX4249" s="340"/>
      <c r="BB4249" s="340"/>
      <c r="BD4249" s="339"/>
    </row>
    <row r="4250" spans="7:56" s="338" customFormat="1">
      <c r="G4250" s="340"/>
      <c r="L4250" s="340"/>
      <c r="P4250" s="340"/>
      <c r="U4250" s="340"/>
      <c r="V4250" s="340"/>
      <c r="Z4250" s="340"/>
      <c r="AE4250" s="340"/>
      <c r="AI4250" s="340"/>
      <c r="AN4250" s="340"/>
      <c r="AO4250" s="340"/>
      <c r="AS4250" s="340"/>
      <c r="AX4250" s="340"/>
      <c r="BB4250" s="340"/>
      <c r="BD4250" s="339"/>
    </row>
    <row r="4251" spans="7:56" s="338" customFormat="1">
      <c r="G4251" s="340"/>
      <c r="L4251" s="340"/>
      <c r="P4251" s="340"/>
      <c r="U4251" s="340"/>
      <c r="V4251" s="340"/>
      <c r="Z4251" s="340"/>
      <c r="AE4251" s="340"/>
      <c r="AI4251" s="340"/>
      <c r="AN4251" s="340"/>
      <c r="AO4251" s="340"/>
      <c r="AS4251" s="340"/>
      <c r="AX4251" s="340"/>
      <c r="BB4251" s="340"/>
      <c r="BD4251" s="339"/>
    </row>
    <row r="4252" spans="7:56" s="338" customFormat="1">
      <c r="G4252" s="340"/>
      <c r="L4252" s="340"/>
      <c r="P4252" s="340"/>
      <c r="U4252" s="340"/>
      <c r="V4252" s="340"/>
      <c r="Z4252" s="340"/>
      <c r="AE4252" s="340"/>
      <c r="AI4252" s="340"/>
      <c r="AN4252" s="340"/>
      <c r="AO4252" s="340"/>
      <c r="AS4252" s="340"/>
      <c r="AX4252" s="340"/>
      <c r="BB4252" s="340"/>
      <c r="BD4252" s="339"/>
    </row>
    <row r="4253" spans="7:56" s="338" customFormat="1">
      <c r="G4253" s="340"/>
      <c r="L4253" s="340"/>
      <c r="P4253" s="340"/>
      <c r="U4253" s="340"/>
      <c r="V4253" s="340"/>
      <c r="Z4253" s="340"/>
      <c r="AE4253" s="340"/>
      <c r="AI4253" s="340"/>
      <c r="AN4253" s="340"/>
      <c r="AO4253" s="340"/>
      <c r="AS4253" s="340"/>
      <c r="AX4253" s="340"/>
      <c r="BB4253" s="340"/>
      <c r="BD4253" s="339"/>
    </row>
    <row r="4254" spans="7:56" s="338" customFormat="1">
      <c r="G4254" s="340"/>
      <c r="L4254" s="340"/>
      <c r="P4254" s="340"/>
      <c r="U4254" s="340"/>
      <c r="V4254" s="340"/>
      <c r="Z4254" s="340"/>
      <c r="AE4254" s="340"/>
      <c r="AI4254" s="340"/>
      <c r="AN4254" s="340"/>
      <c r="AO4254" s="340"/>
      <c r="AS4254" s="340"/>
      <c r="AX4254" s="340"/>
      <c r="BB4254" s="340"/>
      <c r="BD4254" s="339"/>
    </row>
    <row r="4255" spans="7:56" s="338" customFormat="1">
      <c r="G4255" s="340"/>
      <c r="L4255" s="340"/>
      <c r="P4255" s="340"/>
      <c r="U4255" s="340"/>
      <c r="V4255" s="340"/>
      <c r="Z4255" s="340"/>
      <c r="AE4255" s="340"/>
      <c r="AI4255" s="340"/>
      <c r="AN4255" s="340"/>
      <c r="AO4255" s="340"/>
      <c r="AS4255" s="340"/>
      <c r="AX4255" s="340"/>
      <c r="BB4255" s="340"/>
      <c r="BD4255" s="339"/>
    </row>
    <row r="4256" spans="7:56" s="338" customFormat="1">
      <c r="G4256" s="340"/>
      <c r="L4256" s="340"/>
      <c r="P4256" s="340"/>
      <c r="U4256" s="340"/>
      <c r="V4256" s="340"/>
      <c r="Z4256" s="340"/>
      <c r="AE4256" s="340"/>
      <c r="AI4256" s="340"/>
      <c r="AN4256" s="340"/>
      <c r="AO4256" s="340"/>
      <c r="AS4256" s="340"/>
      <c r="AX4256" s="340"/>
      <c r="BB4256" s="340"/>
      <c r="BD4256" s="339"/>
    </row>
    <row r="4257" spans="7:56" s="338" customFormat="1">
      <c r="G4257" s="340"/>
      <c r="L4257" s="340"/>
      <c r="P4257" s="340"/>
      <c r="U4257" s="340"/>
      <c r="V4257" s="340"/>
      <c r="Z4257" s="340"/>
      <c r="AE4257" s="340"/>
      <c r="AI4257" s="340"/>
      <c r="AN4257" s="340"/>
      <c r="AO4257" s="340"/>
      <c r="AS4257" s="340"/>
      <c r="AX4257" s="340"/>
      <c r="BB4257" s="340"/>
      <c r="BD4257" s="339"/>
    </row>
    <row r="4258" spans="7:56" s="338" customFormat="1">
      <c r="G4258" s="340"/>
      <c r="L4258" s="340"/>
      <c r="P4258" s="340"/>
      <c r="U4258" s="340"/>
      <c r="V4258" s="340"/>
      <c r="Z4258" s="340"/>
      <c r="AE4258" s="340"/>
      <c r="AI4258" s="340"/>
      <c r="AN4258" s="340"/>
      <c r="AO4258" s="340"/>
      <c r="AS4258" s="340"/>
      <c r="AX4258" s="340"/>
      <c r="BB4258" s="340"/>
      <c r="BD4258" s="339"/>
    </row>
    <row r="4259" spans="7:56" s="338" customFormat="1">
      <c r="G4259" s="340"/>
      <c r="L4259" s="340"/>
      <c r="P4259" s="340"/>
      <c r="U4259" s="340"/>
      <c r="V4259" s="340"/>
      <c r="Z4259" s="340"/>
      <c r="AE4259" s="340"/>
      <c r="AI4259" s="340"/>
      <c r="AN4259" s="340"/>
      <c r="AO4259" s="340"/>
      <c r="AS4259" s="340"/>
      <c r="AX4259" s="340"/>
      <c r="BB4259" s="340"/>
      <c r="BD4259" s="339"/>
    </row>
    <row r="4260" spans="7:56" s="338" customFormat="1">
      <c r="G4260" s="340"/>
      <c r="L4260" s="340"/>
      <c r="P4260" s="340"/>
      <c r="U4260" s="340"/>
      <c r="V4260" s="340"/>
      <c r="Z4260" s="340"/>
      <c r="AE4260" s="340"/>
      <c r="AI4260" s="340"/>
      <c r="AN4260" s="340"/>
      <c r="AO4260" s="340"/>
      <c r="AS4260" s="340"/>
      <c r="AX4260" s="340"/>
      <c r="BB4260" s="340"/>
      <c r="BD4260" s="339"/>
    </row>
    <row r="4261" spans="7:56" s="338" customFormat="1">
      <c r="G4261" s="340"/>
      <c r="L4261" s="340"/>
      <c r="P4261" s="340"/>
      <c r="U4261" s="340"/>
      <c r="V4261" s="340"/>
      <c r="Z4261" s="340"/>
      <c r="AE4261" s="340"/>
      <c r="AI4261" s="340"/>
      <c r="AN4261" s="340"/>
      <c r="AO4261" s="340"/>
      <c r="AS4261" s="340"/>
      <c r="AX4261" s="340"/>
      <c r="BB4261" s="340"/>
      <c r="BD4261" s="339"/>
    </row>
    <row r="4262" spans="7:56" s="338" customFormat="1">
      <c r="G4262" s="340"/>
      <c r="L4262" s="340"/>
      <c r="P4262" s="340"/>
      <c r="U4262" s="340"/>
      <c r="V4262" s="340"/>
      <c r="Z4262" s="340"/>
      <c r="AE4262" s="340"/>
      <c r="AI4262" s="340"/>
      <c r="AN4262" s="340"/>
      <c r="AO4262" s="340"/>
      <c r="AS4262" s="340"/>
      <c r="AX4262" s="340"/>
      <c r="BB4262" s="340"/>
      <c r="BD4262" s="339"/>
    </row>
    <row r="4263" spans="7:56" s="338" customFormat="1">
      <c r="G4263" s="340"/>
      <c r="L4263" s="340"/>
      <c r="P4263" s="340"/>
      <c r="U4263" s="340"/>
      <c r="V4263" s="340"/>
      <c r="Z4263" s="340"/>
      <c r="AE4263" s="340"/>
      <c r="AI4263" s="340"/>
      <c r="AN4263" s="340"/>
      <c r="AO4263" s="340"/>
      <c r="AS4263" s="340"/>
      <c r="AX4263" s="340"/>
      <c r="BB4263" s="340"/>
      <c r="BD4263" s="339"/>
    </row>
    <row r="4264" spans="7:56" s="338" customFormat="1">
      <c r="G4264" s="340"/>
      <c r="L4264" s="340"/>
      <c r="P4264" s="340"/>
      <c r="U4264" s="340"/>
      <c r="V4264" s="340"/>
      <c r="Z4264" s="340"/>
      <c r="AE4264" s="340"/>
      <c r="AI4264" s="340"/>
      <c r="AN4264" s="340"/>
      <c r="AO4264" s="340"/>
      <c r="AS4264" s="340"/>
      <c r="AX4264" s="340"/>
      <c r="BB4264" s="340"/>
      <c r="BD4264" s="339"/>
    </row>
    <row r="4265" spans="7:56" s="338" customFormat="1">
      <c r="G4265" s="340"/>
      <c r="L4265" s="340"/>
      <c r="P4265" s="340"/>
      <c r="U4265" s="340"/>
      <c r="V4265" s="340"/>
      <c r="Z4265" s="340"/>
      <c r="AE4265" s="340"/>
      <c r="AI4265" s="340"/>
      <c r="AN4265" s="340"/>
      <c r="AO4265" s="340"/>
      <c r="AS4265" s="340"/>
      <c r="AX4265" s="340"/>
      <c r="BB4265" s="340"/>
      <c r="BD4265" s="339"/>
    </row>
    <row r="4266" spans="7:56" s="338" customFormat="1">
      <c r="G4266" s="340"/>
      <c r="L4266" s="340"/>
      <c r="P4266" s="340"/>
      <c r="U4266" s="340"/>
      <c r="V4266" s="340"/>
      <c r="Z4266" s="340"/>
      <c r="AE4266" s="340"/>
      <c r="AI4266" s="340"/>
      <c r="AN4266" s="340"/>
      <c r="AO4266" s="340"/>
      <c r="AS4266" s="340"/>
      <c r="AX4266" s="340"/>
      <c r="BB4266" s="340"/>
      <c r="BD4266" s="339"/>
    </row>
    <row r="4267" spans="7:56" s="338" customFormat="1">
      <c r="G4267" s="340"/>
      <c r="L4267" s="340"/>
      <c r="P4267" s="340"/>
      <c r="U4267" s="340"/>
      <c r="V4267" s="340"/>
      <c r="Z4267" s="340"/>
      <c r="AE4267" s="340"/>
      <c r="AI4267" s="340"/>
      <c r="AN4267" s="340"/>
      <c r="AO4267" s="340"/>
      <c r="AS4267" s="340"/>
      <c r="AX4267" s="340"/>
      <c r="BB4267" s="340"/>
      <c r="BD4267" s="339"/>
    </row>
    <row r="4268" spans="7:56" s="338" customFormat="1">
      <c r="G4268" s="340"/>
      <c r="L4268" s="340"/>
      <c r="P4268" s="340"/>
      <c r="U4268" s="340"/>
      <c r="V4268" s="340"/>
      <c r="Z4268" s="340"/>
      <c r="AE4268" s="340"/>
      <c r="AI4268" s="340"/>
      <c r="AN4268" s="340"/>
      <c r="AO4268" s="340"/>
      <c r="AS4268" s="340"/>
      <c r="AX4268" s="340"/>
      <c r="BB4268" s="340"/>
      <c r="BD4268" s="339"/>
    </row>
    <row r="4269" spans="7:56" s="338" customFormat="1">
      <c r="G4269" s="340"/>
      <c r="L4269" s="340"/>
      <c r="P4269" s="340"/>
      <c r="U4269" s="340"/>
      <c r="V4269" s="340"/>
      <c r="Z4269" s="340"/>
      <c r="AE4269" s="340"/>
      <c r="AI4269" s="340"/>
      <c r="AN4269" s="340"/>
      <c r="AO4269" s="340"/>
      <c r="AS4269" s="340"/>
      <c r="AX4269" s="340"/>
      <c r="BB4269" s="340"/>
      <c r="BD4269" s="339"/>
    </row>
    <row r="4270" spans="7:56" s="338" customFormat="1">
      <c r="G4270" s="340"/>
      <c r="L4270" s="340"/>
      <c r="P4270" s="340"/>
      <c r="U4270" s="340"/>
      <c r="V4270" s="340"/>
      <c r="Z4270" s="340"/>
      <c r="AE4270" s="340"/>
      <c r="AI4270" s="340"/>
      <c r="AN4270" s="340"/>
      <c r="AO4270" s="340"/>
      <c r="AS4270" s="340"/>
      <c r="AX4270" s="340"/>
      <c r="BB4270" s="340"/>
      <c r="BD4270" s="339"/>
    </row>
    <row r="4271" spans="7:56" s="338" customFormat="1">
      <c r="G4271" s="340"/>
      <c r="L4271" s="340"/>
      <c r="P4271" s="340"/>
      <c r="U4271" s="340"/>
      <c r="V4271" s="340"/>
      <c r="Z4271" s="340"/>
      <c r="AE4271" s="340"/>
      <c r="AI4271" s="340"/>
      <c r="AN4271" s="340"/>
      <c r="AO4271" s="340"/>
      <c r="AS4271" s="340"/>
      <c r="AX4271" s="340"/>
      <c r="BB4271" s="340"/>
      <c r="BD4271" s="339"/>
    </row>
    <row r="4272" spans="7:56" s="338" customFormat="1">
      <c r="G4272" s="340"/>
      <c r="L4272" s="340"/>
      <c r="P4272" s="340"/>
      <c r="U4272" s="340"/>
      <c r="V4272" s="340"/>
      <c r="Z4272" s="340"/>
      <c r="AE4272" s="340"/>
      <c r="AI4272" s="340"/>
      <c r="AN4272" s="340"/>
      <c r="AO4272" s="340"/>
      <c r="AS4272" s="340"/>
      <c r="AX4272" s="340"/>
      <c r="BB4272" s="340"/>
      <c r="BD4272" s="339"/>
    </row>
    <row r="4273" spans="7:56" s="338" customFormat="1">
      <c r="G4273" s="340"/>
      <c r="L4273" s="340"/>
      <c r="P4273" s="340"/>
      <c r="U4273" s="340"/>
      <c r="V4273" s="340"/>
      <c r="Z4273" s="340"/>
      <c r="AE4273" s="340"/>
      <c r="AI4273" s="340"/>
      <c r="AN4273" s="340"/>
      <c r="AO4273" s="340"/>
      <c r="AS4273" s="340"/>
      <c r="AX4273" s="340"/>
      <c r="BB4273" s="340"/>
      <c r="BD4273" s="339"/>
    </row>
    <row r="4274" spans="7:56" s="338" customFormat="1">
      <c r="G4274" s="340"/>
      <c r="L4274" s="340"/>
      <c r="P4274" s="340"/>
      <c r="U4274" s="340"/>
      <c r="V4274" s="340"/>
      <c r="Z4274" s="340"/>
      <c r="AE4274" s="340"/>
      <c r="AI4274" s="340"/>
      <c r="AN4274" s="340"/>
      <c r="AO4274" s="340"/>
      <c r="AS4274" s="340"/>
      <c r="AX4274" s="340"/>
      <c r="BB4274" s="340"/>
      <c r="BD4274" s="339"/>
    </row>
    <row r="4275" spans="7:56" s="338" customFormat="1">
      <c r="G4275" s="340"/>
      <c r="L4275" s="340"/>
      <c r="P4275" s="340"/>
      <c r="U4275" s="340"/>
      <c r="V4275" s="340"/>
      <c r="Z4275" s="340"/>
      <c r="AE4275" s="340"/>
      <c r="AI4275" s="340"/>
      <c r="AN4275" s="340"/>
      <c r="AO4275" s="340"/>
      <c r="AS4275" s="340"/>
      <c r="AX4275" s="340"/>
      <c r="BB4275" s="340"/>
      <c r="BD4275" s="339"/>
    </row>
    <row r="4276" spans="7:56" s="338" customFormat="1">
      <c r="G4276" s="340"/>
      <c r="L4276" s="340"/>
      <c r="P4276" s="340"/>
      <c r="U4276" s="340"/>
      <c r="V4276" s="340"/>
      <c r="Z4276" s="340"/>
      <c r="AE4276" s="340"/>
      <c r="AI4276" s="340"/>
      <c r="AN4276" s="340"/>
      <c r="AO4276" s="340"/>
      <c r="AS4276" s="340"/>
      <c r="AX4276" s="340"/>
      <c r="BB4276" s="340"/>
      <c r="BD4276" s="339"/>
    </row>
    <row r="4277" spans="7:56" s="338" customFormat="1">
      <c r="G4277" s="340"/>
      <c r="L4277" s="340"/>
      <c r="P4277" s="340"/>
      <c r="U4277" s="340"/>
      <c r="V4277" s="340"/>
      <c r="Z4277" s="340"/>
      <c r="AE4277" s="340"/>
      <c r="AI4277" s="340"/>
      <c r="AN4277" s="340"/>
      <c r="AO4277" s="340"/>
      <c r="AS4277" s="340"/>
      <c r="AX4277" s="340"/>
      <c r="BB4277" s="340"/>
      <c r="BD4277" s="339"/>
    </row>
    <row r="4278" spans="7:56" s="338" customFormat="1">
      <c r="G4278" s="340"/>
      <c r="L4278" s="340"/>
      <c r="P4278" s="340"/>
      <c r="U4278" s="340"/>
      <c r="V4278" s="340"/>
      <c r="Z4278" s="340"/>
      <c r="AE4278" s="340"/>
      <c r="AI4278" s="340"/>
      <c r="AN4278" s="340"/>
      <c r="AO4278" s="340"/>
      <c r="AS4278" s="340"/>
      <c r="AX4278" s="340"/>
      <c r="BB4278" s="340"/>
      <c r="BD4278" s="339"/>
    </row>
    <row r="4279" spans="7:56" s="338" customFormat="1">
      <c r="G4279" s="340"/>
      <c r="L4279" s="340"/>
      <c r="P4279" s="340"/>
      <c r="U4279" s="340"/>
      <c r="V4279" s="340"/>
      <c r="Z4279" s="340"/>
      <c r="AE4279" s="340"/>
      <c r="AI4279" s="340"/>
      <c r="AN4279" s="340"/>
      <c r="AO4279" s="340"/>
      <c r="AS4279" s="340"/>
      <c r="AX4279" s="340"/>
      <c r="BB4279" s="340"/>
      <c r="BD4279" s="339"/>
    </row>
    <row r="4280" spans="7:56" s="338" customFormat="1">
      <c r="G4280" s="340"/>
      <c r="L4280" s="340"/>
      <c r="P4280" s="340"/>
      <c r="U4280" s="340"/>
      <c r="V4280" s="340"/>
      <c r="Z4280" s="340"/>
      <c r="AE4280" s="340"/>
      <c r="AI4280" s="340"/>
      <c r="AN4280" s="340"/>
      <c r="AO4280" s="340"/>
      <c r="AS4280" s="340"/>
      <c r="AX4280" s="340"/>
      <c r="BB4280" s="340"/>
      <c r="BD4280" s="339"/>
    </row>
    <row r="4281" spans="7:56" s="338" customFormat="1">
      <c r="G4281" s="340"/>
      <c r="L4281" s="340"/>
      <c r="P4281" s="340"/>
      <c r="U4281" s="340"/>
      <c r="V4281" s="340"/>
      <c r="Z4281" s="340"/>
      <c r="AE4281" s="340"/>
      <c r="AI4281" s="340"/>
      <c r="AN4281" s="340"/>
      <c r="AO4281" s="340"/>
      <c r="AS4281" s="340"/>
      <c r="AX4281" s="340"/>
      <c r="BB4281" s="340"/>
      <c r="BD4281" s="339"/>
    </row>
    <row r="4282" spans="7:56" s="338" customFormat="1">
      <c r="G4282" s="340"/>
      <c r="L4282" s="340"/>
      <c r="P4282" s="340"/>
      <c r="U4282" s="340"/>
      <c r="V4282" s="340"/>
      <c r="Z4282" s="340"/>
      <c r="AE4282" s="340"/>
      <c r="AI4282" s="340"/>
      <c r="AN4282" s="340"/>
      <c r="AO4282" s="340"/>
      <c r="AS4282" s="340"/>
      <c r="AX4282" s="340"/>
      <c r="BB4282" s="340"/>
      <c r="BD4282" s="339"/>
    </row>
    <row r="4283" spans="7:56" s="338" customFormat="1">
      <c r="G4283" s="340"/>
      <c r="L4283" s="340"/>
      <c r="P4283" s="340"/>
      <c r="U4283" s="340"/>
      <c r="V4283" s="340"/>
      <c r="Z4283" s="340"/>
      <c r="AE4283" s="340"/>
      <c r="AI4283" s="340"/>
      <c r="AN4283" s="340"/>
      <c r="AO4283" s="340"/>
      <c r="AS4283" s="340"/>
      <c r="AX4283" s="340"/>
      <c r="BB4283" s="340"/>
      <c r="BD4283" s="339"/>
    </row>
    <row r="4284" spans="7:56" s="338" customFormat="1">
      <c r="G4284" s="340"/>
      <c r="L4284" s="340"/>
      <c r="P4284" s="340"/>
      <c r="U4284" s="340"/>
      <c r="V4284" s="340"/>
      <c r="Z4284" s="340"/>
      <c r="AE4284" s="340"/>
      <c r="AI4284" s="340"/>
      <c r="AN4284" s="340"/>
      <c r="AO4284" s="340"/>
      <c r="AS4284" s="340"/>
      <c r="AX4284" s="340"/>
      <c r="BB4284" s="340"/>
      <c r="BD4284" s="339"/>
    </row>
    <row r="4285" spans="7:56" s="338" customFormat="1">
      <c r="G4285" s="340"/>
      <c r="L4285" s="340"/>
      <c r="P4285" s="340"/>
      <c r="U4285" s="340"/>
      <c r="V4285" s="340"/>
      <c r="Z4285" s="340"/>
      <c r="AE4285" s="340"/>
      <c r="AI4285" s="340"/>
      <c r="AN4285" s="340"/>
      <c r="AO4285" s="340"/>
      <c r="AS4285" s="340"/>
      <c r="AX4285" s="340"/>
      <c r="BB4285" s="340"/>
      <c r="BD4285" s="339"/>
    </row>
    <row r="4286" spans="7:56" s="338" customFormat="1">
      <c r="G4286" s="340"/>
      <c r="L4286" s="340"/>
      <c r="P4286" s="340"/>
      <c r="U4286" s="340"/>
      <c r="V4286" s="340"/>
      <c r="Z4286" s="340"/>
      <c r="AE4286" s="340"/>
      <c r="AI4286" s="340"/>
      <c r="AN4286" s="340"/>
      <c r="AO4286" s="340"/>
      <c r="AS4286" s="340"/>
      <c r="AX4286" s="340"/>
      <c r="BB4286" s="340"/>
      <c r="BD4286" s="339"/>
    </row>
    <row r="4287" spans="7:56" s="338" customFormat="1">
      <c r="G4287" s="340"/>
      <c r="L4287" s="340"/>
      <c r="P4287" s="340"/>
      <c r="U4287" s="340"/>
      <c r="V4287" s="340"/>
      <c r="Z4287" s="340"/>
      <c r="AE4287" s="340"/>
      <c r="AI4287" s="340"/>
      <c r="AN4287" s="340"/>
      <c r="AO4287" s="340"/>
      <c r="AS4287" s="340"/>
      <c r="AX4287" s="340"/>
      <c r="BB4287" s="340"/>
      <c r="BD4287" s="339"/>
    </row>
    <row r="4288" spans="7:56" s="338" customFormat="1">
      <c r="G4288" s="340"/>
      <c r="L4288" s="340"/>
      <c r="P4288" s="340"/>
      <c r="U4288" s="340"/>
      <c r="V4288" s="340"/>
      <c r="Z4288" s="340"/>
      <c r="AE4288" s="340"/>
      <c r="AI4288" s="340"/>
      <c r="AN4288" s="340"/>
      <c r="AO4288" s="340"/>
      <c r="AS4288" s="340"/>
      <c r="AX4288" s="340"/>
      <c r="BB4288" s="340"/>
      <c r="BD4288" s="339"/>
    </row>
    <row r="4289" spans="7:56" s="338" customFormat="1">
      <c r="G4289" s="340"/>
      <c r="L4289" s="340"/>
      <c r="P4289" s="340"/>
      <c r="U4289" s="340"/>
      <c r="V4289" s="340"/>
      <c r="Z4289" s="340"/>
      <c r="AE4289" s="340"/>
      <c r="AI4289" s="340"/>
      <c r="AN4289" s="340"/>
      <c r="AO4289" s="340"/>
      <c r="AS4289" s="340"/>
      <c r="AX4289" s="340"/>
      <c r="BB4289" s="340"/>
      <c r="BD4289" s="339"/>
    </row>
    <row r="4290" spans="7:56" s="338" customFormat="1">
      <c r="G4290" s="340"/>
      <c r="L4290" s="340"/>
      <c r="P4290" s="340"/>
      <c r="U4290" s="340"/>
      <c r="V4290" s="340"/>
      <c r="Z4290" s="340"/>
      <c r="AE4290" s="340"/>
      <c r="AI4290" s="340"/>
      <c r="AN4290" s="340"/>
      <c r="AO4290" s="340"/>
      <c r="AS4290" s="340"/>
      <c r="AX4290" s="340"/>
      <c r="BB4290" s="340"/>
      <c r="BD4290" s="339"/>
    </row>
    <row r="4291" spans="7:56" s="338" customFormat="1">
      <c r="G4291" s="340"/>
      <c r="L4291" s="340"/>
      <c r="P4291" s="340"/>
      <c r="U4291" s="340"/>
      <c r="V4291" s="340"/>
      <c r="Z4291" s="340"/>
      <c r="AE4291" s="340"/>
      <c r="AI4291" s="340"/>
      <c r="AN4291" s="340"/>
      <c r="AO4291" s="340"/>
      <c r="AS4291" s="340"/>
      <c r="AX4291" s="340"/>
      <c r="BB4291" s="340"/>
      <c r="BD4291" s="339"/>
    </row>
    <row r="4292" spans="7:56" s="338" customFormat="1">
      <c r="G4292" s="340"/>
      <c r="L4292" s="340"/>
      <c r="P4292" s="340"/>
      <c r="U4292" s="340"/>
      <c r="V4292" s="340"/>
      <c r="Z4292" s="340"/>
      <c r="AE4292" s="340"/>
      <c r="AI4292" s="340"/>
      <c r="AN4292" s="340"/>
      <c r="AO4292" s="340"/>
      <c r="AS4292" s="340"/>
      <c r="AX4292" s="340"/>
      <c r="BB4292" s="340"/>
      <c r="BD4292" s="339"/>
    </row>
    <row r="4293" spans="7:56" s="338" customFormat="1">
      <c r="G4293" s="340"/>
      <c r="L4293" s="340"/>
      <c r="P4293" s="340"/>
      <c r="U4293" s="340"/>
      <c r="V4293" s="340"/>
      <c r="Z4293" s="340"/>
      <c r="AE4293" s="340"/>
      <c r="AI4293" s="340"/>
      <c r="AN4293" s="340"/>
      <c r="AO4293" s="340"/>
      <c r="AS4293" s="340"/>
      <c r="AX4293" s="340"/>
      <c r="BB4293" s="340"/>
      <c r="BD4293" s="339"/>
    </row>
    <row r="4294" spans="7:56" s="338" customFormat="1">
      <c r="G4294" s="340"/>
      <c r="L4294" s="340"/>
      <c r="P4294" s="340"/>
      <c r="U4294" s="340"/>
      <c r="V4294" s="340"/>
      <c r="Z4294" s="340"/>
      <c r="AE4294" s="340"/>
      <c r="AI4294" s="340"/>
      <c r="AN4294" s="340"/>
      <c r="AO4294" s="340"/>
      <c r="AS4294" s="340"/>
      <c r="AX4294" s="340"/>
      <c r="BB4294" s="340"/>
      <c r="BD4294" s="339"/>
    </row>
    <row r="4295" spans="7:56" s="338" customFormat="1">
      <c r="G4295" s="340"/>
      <c r="L4295" s="340"/>
      <c r="P4295" s="340"/>
      <c r="U4295" s="340"/>
      <c r="V4295" s="340"/>
      <c r="Z4295" s="340"/>
      <c r="AE4295" s="340"/>
      <c r="AI4295" s="340"/>
      <c r="AN4295" s="340"/>
      <c r="AO4295" s="340"/>
      <c r="AS4295" s="340"/>
      <c r="AX4295" s="340"/>
      <c r="BB4295" s="340"/>
      <c r="BD4295" s="339"/>
    </row>
    <row r="4296" spans="7:56" s="338" customFormat="1">
      <c r="G4296" s="340"/>
      <c r="L4296" s="340"/>
      <c r="P4296" s="340"/>
      <c r="U4296" s="340"/>
      <c r="V4296" s="340"/>
      <c r="Z4296" s="340"/>
      <c r="AE4296" s="340"/>
      <c r="AI4296" s="340"/>
      <c r="AN4296" s="340"/>
      <c r="AO4296" s="340"/>
      <c r="AS4296" s="340"/>
      <c r="AX4296" s="340"/>
      <c r="BB4296" s="340"/>
      <c r="BD4296" s="339"/>
    </row>
    <row r="4297" spans="7:56" s="338" customFormat="1">
      <c r="G4297" s="340"/>
      <c r="L4297" s="340"/>
      <c r="P4297" s="340"/>
      <c r="U4297" s="340"/>
      <c r="V4297" s="340"/>
      <c r="Z4297" s="340"/>
      <c r="AE4297" s="340"/>
      <c r="AI4297" s="340"/>
      <c r="AN4297" s="340"/>
      <c r="AO4297" s="340"/>
      <c r="AS4297" s="340"/>
      <c r="AX4297" s="340"/>
      <c r="BB4297" s="340"/>
      <c r="BD4297" s="339"/>
    </row>
    <row r="4298" spans="7:56" s="338" customFormat="1">
      <c r="G4298" s="340"/>
      <c r="L4298" s="340"/>
      <c r="P4298" s="340"/>
      <c r="U4298" s="340"/>
      <c r="V4298" s="340"/>
      <c r="Z4298" s="340"/>
      <c r="AE4298" s="340"/>
      <c r="AI4298" s="340"/>
      <c r="AN4298" s="340"/>
      <c r="AO4298" s="340"/>
      <c r="AS4298" s="340"/>
      <c r="AX4298" s="340"/>
      <c r="BB4298" s="340"/>
      <c r="BD4298" s="339"/>
    </row>
    <row r="4299" spans="7:56" s="338" customFormat="1">
      <c r="G4299" s="340"/>
      <c r="L4299" s="340"/>
      <c r="P4299" s="340"/>
      <c r="U4299" s="340"/>
      <c r="V4299" s="340"/>
      <c r="Z4299" s="340"/>
      <c r="AE4299" s="340"/>
      <c r="AI4299" s="340"/>
      <c r="AN4299" s="340"/>
      <c r="AO4299" s="340"/>
      <c r="AS4299" s="340"/>
      <c r="AX4299" s="340"/>
      <c r="BB4299" s="340"/>
      <c r="BD4299" s="339"/>
    </row>
    <row r="4300" spans="7:56" s="338" customFormat="1">
      <c r="G4300" s="340"/>
      <c r="L4300" s="340"/>
      <c r="P4300" s="340"/>
      <c r="U4300" s="340"/>
      <c r="V4300" s="340"/>
      <c r="Z4300" s="340"/>
      <c r="AE4300" s="340"/>
      <c r="AI4300" s="340"/>
      <c r="AN4300" s="340"/>
      <c r="AO4300" s="340"/>
      <c r="AS4300" s="340"/>
      <c r="AX4300" s="340"/>
      <c r="BB4300" s="340"/>
      <c r="BD4300" s="339"/>
    </row>
    <row r="4301" spans="7:56" s="338" customFormat="1">
      <c r="G4301" s="340"/>
      <c r="L4301" s="340"/>
      <c r="P4301" s="340"/>
      <c r="U4301" s="340"/>
      <c r="V4301" s="340"/>
      <c r="Z4301" s="340"/>
      <c r="AE4301" s="340"/>
      <c r="AI4301" s="340"/>
      <c r="AN4301" s="340"/>
      <c r="AO4301" s="340"/>
      <c r="AS4301" s="340"/>
      <c r="AX4301" s="340"/>
      <c r="BB4301" s="340"/>
      <c r="BD4301" s="339"/>
    </row>
    <row r="4302" spans="7:56" s="338" customFormat="1">
      <c r="G4302" s="340"/>
      <c r="L4302" s="340"/>
      <c r="P4302" s="340"/>
      <c r="U4302" s="340"/>
      <c r="V4302" s="340"/>
      <c r="Z4302" s="340"/>
      <c r="AE4302" s="340"/>
      <c r="AI4302" s="340"/>
      <c r="AN4302" s="340"/>
      <c r="AO4302" s="340"/>
      <c r="AS4302" s="340"/>
      <c r="AX4302" s="340"/>
      <c r="BB4302" s="340"/>
      <c r="BD4302" s="339"/>
    </row>
    <row r="4303" spans="7:56" s="338" customFormat="1">
      <c r="G4303" s="340"/>
      <c r="L4303" s="340"/>
      <c r="P4303" s="340"/>
      <c r="U4303" s="340"/>
      <c r="V4303" s="340"/>
      <c r="Z4303" s="340"/>
      <c r="AE4303" s="340"/>
      <c r="AI4303" s="340"/>
      <c r="AN4303" s="340"/>
      <c r="AO4303" s="340"/>
      <c r="AS4303" s="340"/>
      <c r="AX4303" s="340"/>
      <c r="BB4303" s="340"/>
      <c r="BD4303" s="339"/>
    </row>
    <row r="4304" spans="7:56" s="338" customFormat="1">
      <c r="G4304" s="340"/>
      <c r="L4304" s="340"/>
      <c r="P4304" s="340"/>
      <c r="U4304" s="340"/>
      <c r="V4304" s="340"/>
      <c r="Z4304" s="340"/>
      <c r="AE4304" s="340"/>
      <c r="AI4304" s="340"/>
      <c r="AN4304" s="340"/>
      <c r="AO4304" s="340"/>
      <c r="AS4304" s="340"/>
      <c r="AX4304" s="340"/>
      <c r="BB4304" s="340"/>
      <c r="BD4304" s="339"/>
    </row>
    <row r="4305" spans="7:56" s="338" customFormat="1">
      <c r="G4305" s="340"/>
      <c r="L4305" s="340"/>
      <c r="P4305" s="340"/>
      <c r="U4305" s="340"/>
      <c r="V4305" s="340"/>
      <c r="Z4305" s="340"/>
      <c r="AE4305" s="340"/>
      <c r="AI4305" s="340"/>
      <c r="AN4305" s="340"/>
      <c r="AO4305" s="340"/>
      <c r="AS4305" s="340"/>
      <c r="AX4305" s="340"/>
      <c r="BB4305" s="340"/>
      <c r="BD4305" s="339"/>
    </row>
    <row r="4306" spans="7:56" s="338" customFormat="1">
      <c r="G4306" s="340"/>
      <c r="L4306" s="340"/>
      <c r="P4306" s="340"/>
      <c r="U4306" s="340"/>
      <c r="V4306" s="340"/>
      <c r="Z4306" s="340"/>
      <c r="AE4306" s="340"/>
      <c r="AI4306" s="340"/>
      <c r="AN4306" s="340"/>
      <c r="AO4306" s="340"/>
      <c r="AS4306" s="340"/>
      <c r="AX4306" s="340"/>
      <c r="BB4306" s="340"/>
      <c r="BD4306" s="339"/>
    </row>
    <row r="4307" spans="7:56" s="338" customFormat="1">
      <c r="G4307" s="340"/>
      <c r="L4307" s="340"/>
      <c r="P4307" s="340"/>
      <c r="U4307" s="340"/>
      <c r="V4307" s="340"/>
      <c r="Z4307" s="340"/>
      <c r="AE4307" s="340"/>
      <c r="AI4307" s="340"/>
      <c r="AN4307" s="340"/>
      <c r="AO4307" s="340"/>
      <c r="AS4307" s="340"/>
      <c r="AX4307" s="340"/>
      <c r="BB4307" s="340"/>
      <c r="BD4307" s="339"/>
    </row>
    <row r="4308" spans="7:56" s="338" customFormat="1">
      <c r="G4308" s="340"/>
      <c r="L4308" s="340"/>
      <c r="P4308" s="340"/>
      <c r="U4308" s="340"/>
      <c r="V4308" s="340"/>
      <c r="Z4308" s="340"/>
      <c r="AE4308" s="340"/>
      <c r="AI4308" s="340"/>
      <c r="AN4308" s="340"/>
      <c r="AO4308" s="340"/>
      <c r="AS4308" s="340"/>
      <c r="AX4308" s="340"/>
      <c r="BB4308" s="340"/>
      <c r="BD4308" s="339"/>
    </row>
    <row r="4309" spans="7:56" s="338" customFormat="1">
      <c r="G4309" s="340"/>
      <c r="L4309" s="340"/>
      <c r="P4309" s="340"/>
      <c r="U4309" s="340"/>
      <c r="V4309" s="340"/>
      <c r="Z4309" s="340"/>
      <c r="AE4309" s="340"/>
      <c r="AI4309" s="340"/>
      <c r="AN4309" s="340"/>
      <c r="AO4309" s="340"/>
      <c r="AS4309" s="340"/>
      <c r="AX4309" s="340"/>
      <c r="BB4309" s="340"/>
      <c r="BD4309" s="339"/>
    </row>
    <row r="4310" spans="7:56" s="338" customFormat="1">
      <c r="G4310" s="340"/>
      <c r="L4310" s="340"/>
      <c r="P4310" s="340"/>
      <c r="U4310" s="340"/>
      <c r="V4310" s="340"/>
      <c r="Z4310" s="340"/>
      <c r="AE4310" s="340"/>
      <c r="AI4310" s="340"/>
      <c r="AN4310" s="340"/>
      <c r="AO4310" s="340"/>
      <c r="AS4310" s="340"/>
      <c r="AX4310" s="340"/>
      <c r="BB4310" s="340"/>
      <c r="BD4310" s="339"/>
    </row>
    <row r="4311" spans="7:56" s="338" customFormat="1">
      <c r="G4311" s="340"/>
      <c r="L4311" s="340"/>
      <c r="P4311" s="340"/>
      <c r="U4311" s="340"/>
      <c r="V4311" s="340"/>
      <c r="Z4311" s="340"/>
      <c r="AE4311" s="340"/>
      <c r="AI4311" s="340"/>
      <c r="AN4311" s="340"/>
      <c r="AO4311" s="340"/>
      <c r="AS4311" s="340"/>
      <c r="AX4311" s="340"/>
      <c r="BB4311" s="340"/>
      <c r="BD4311" s="339"/>
    </row>
    <row r="4312" spans="7:56" s="338" customFormat="1">
      <c r="G4312" s="340"/>
      <c r="L4312" s="340"/>
      <c r="P4312" s="340"/>
      <c r="U4312" s="340"/>
      <c r="V4312" s="340"/>
      <c r="Z4312" s="340"/>
      <c r="AE4312" s="340"/>
      <c r="AI4312" s="340"/>
      <c r="AN4312" s="340"/>
      <c r="AO4312" s="340"/>
      <c r="AS4312" s="340"/>
      <c r="AX4312" s="340"/>
      <c r="BB4312" s="340"/>
      <c r="BD4312" s="339"/>
    </row>
    <row r="4313" spans="7:56" s="338" customFormat="1">
      <c r="G4313" s="340"/>
      <c r="L4313" s="340"/>
      <c r="P4313" s="340"/>
      <c r="U4313" s="340"/>
      <c r="V4313" s="340"/>
      <c r="Z4313" s="340"/>
      <c r="AE4313" s="340"/>
      <c r="AI4313" s="340"/>
      <c r="AN4313" s="340"/>
      <c r="AO4313" s="340"/>
      <c r="AS4313" s="340"/>
      <c r="AX4313" s="340"/>
      <c r="BB4313" s="340"/>
      <c r="BD4313" s="339"/>
    </row>
    <row r="4314" spans="7:56" s="338" customFormat="1">
      <c r="G4314" s="340"/>
      <c r="L4314" s="340"/>
      <c r="P4314" s="340"/>
      <c r="U4314" s="340"/>
      <c r="V4314" s="340"/>
      <c r="Z4314" s="340"/>
      <c r="AE4314" s="340"/>
      <c r="AI4314" s="340"/>
      <c r="AN4314" s="340"/>
      <c r="AO4314" s="340"/>
      <c r="AS4314" s="340"/>
      <c r="AX4314" s="340"/>
      <c r="BB4314" s="340"/>
      <c r="BD4314" s="339"/>
    </row>
    <row r="4315" spans="7:56" s="338" customFormat="1">
      <c r="G4315" s="340"/>
      <c r="L4315" s="340"/>
      <c r="P4315" s="340"/>
      <c r="U4315" s="340"/>
      <c r="V4315" s="340"/>
      <c r="Z4315" s="340"/>
      <c r="AE4315" s="340"/>
      <c r="AI4315" s="340"/>
      <c r="AN4315" s="340"/>
      <c r="AO4315" s="340"/>
      <c r="AS4315" s="340"/>
      <c r="AX4315" s="340"/>
      <c r="BB4315" s="340"/>
      <c r="BD4315" s="339"/>
    </row>
    <row r="4316" spans="7:56" s="338" customFormat="1">
      <c r="G4316" s="340"/>
      <c r="L4316" s="340"/>
      <c r="P4316" s="340"/>
      <c r="U4316" s="340"/>
      <c r="V4316" s="340"/>
      <c r="Z4316" s="340"/>
      <c r="AE4316" s="340"/>
      <c r="AI4316" s="340"/>
      <c r="AN4316" s="340"/>
      <c r="AO4316" s="340"/>
      <c r="AS4316" s="340"/>
      <c r="AX4316" s="340"/>
      <c r="BB4316" s="340"/>
      <c r="BD4316" s="339"/>
    </row>
    <row r="4317" spans="7:56" s="338" customFormat="1">
      <c r="G4317" s="340"/>
      <c r="L4317" s="340"/>
      <c r="P4317" s="340"/>
      <c r="U4317" s="340"/>
      <c r="V4317" s="340"/>
      <c r="Z4317" s="340"/>
      <c r="AE4317" s="340"/>
      <c r="AI4317" s="340"/>
      <c r="AN4317" s="340"/>
      <c r="AO4317" s="340"/>
      <c r="AS4317" s="340"/>
      <c r="AX4317" s="340"/>
      <c r="BB4317" s="340"/>
      <c r="BD4317" s="339"/>
    </row>
    <row r="4318" spans="7:56" s="338" customFormat="1">
      <c r="G4318" s="340"/>
      <c r="L4318" s="340"/>
      <c r="P4318" s="340"/>
      <c r="U4318" s="340"/>
      <c r="V4318" s="340"/>
      <c r="Z4318" s="340"/>
      <c r="AE4318" s="340"/>
      <c r="AI4318" s="340"/>
      <c r="AN4318" s="340"/>
      <c r="AO4318" s="340"/>
      <c r="AS4318" s="340"/>
      <c r="AX4318" s="340"/>
      <c r="BB4318" s="340"/>
      <c r="BD4318" s="339"/>
    </row>
    <row r="4319" spans="7:56" s="338" customFormat="1">
      <c r="G4319" s="340"/>
      <c r="L4319" s="340"/>
      <c r="P4319" s="340"/>
      <c r="U4319" s="340"/>
      <c r="V4319" s="340"/>
      <c r="Z4319" s="340"/>
      <c r="AE4319" s="340"/>
      <c r="AI4319" s="340"/>
      <c r="AN4319" s="340"/>
      <c r="AO4319" s="340"/>
      <c r="AS4319" s="340"/>
      <c r="AX4319" s="340"/>
      <c r="BB4319" s="340"/>
      <c r="BD4319" s="339"/>
    </row>
    <row r="4320" spans="7:56" s="338" customFormat="1">
      <c r="G4320" s="340"/>
      <c r="L4320" s="340"/>
      <c r="P4320" s="340"/>
      <c r="U4320" s="340"/>
      <c r="V4320" s="340"/>
      <c r="Z4320" s="340"/>
      <c r="AE4320" s="340"/>
      <c r="AI4320" s="340"/>
      <c r="AN4320" s="340"/>
      <c r="AO4320" s="340"/>
      <c r="AS4320" s="340"/>
      <c r="AX4320" s="340"/>
      <c r="BB4320" s="340"/>
      <c r="BD4320" s="339"/>
    </row>
    <row r="4321" spans="7:56" s="338" customFormat="1">
      <c r="G4321" s="340"/>
      <c r="L4321" s="340"/>
      <c r="P4321" s="340"/>
      <c r="U4321" s="340"/>
      <c r="V4321" s="340"/>
      <c r="Z4321" s="340"/>
      <c r="AE4321" s="340"/>
      <c r="AI4321" s="340"/>
      <c r="AN4321" s="340"/>
      <c r="AO4321" s="340"/>
      <c r="AS4321" s="340"/>
      <c r="AX4321" s="340"/>
      <c r="BB4321" s="340"/>
      <c r="BD4321" s="339"/>
    </row>
    <row r="4322" spans="7:56" s="338" customFormat="1">
      <c r="G4322" s="340"/>
      <c r="L4322" s="340"/>
      <c r="P4322" s="340"/>
      <c r="U4322" s="340"/>
      <c r="V4322" s="340"/>
      <c r="Z4322" s="340"/>
      <c r="AE4322" s="340"/>
      <c r="AI4322" s="340"/>
      <c r="AN4322" s="340"/>
      <c r="AO4322" s="340"/>
      <c r="AS4322" s="340"/>
      <c r="AX4322" s="340"/>
      <c r="BB4322" s="340"/>
      <c r="BD4322" s="339"/>
    </row>
    <row r="4323" spans="7:56" s="338" customFormat="1">
      <c r="G4323" s="340"/>
      <c r="L4323" s="340"/>
      <c r="P4323" s="340"/>
      <c r="U4323" s="340"/>
      <c r="V4323" s="340"/>
      <c r="Z4323" s="340"/>
      <c r="AE4323" s="340"/>
      <c r="AI4323" s="340"/>
      <c r="AN4323" s="340"/>
      <c r="AO4323" s="340"/>
      <c r="AS4323" s="340"/>
      <c r="AX4323" s="340"/>
      <c r="BB4323" s="340"/>
      <c r="BD4323" s="339"/>
    </row>
    <row r="4324" spans="7:56" s="338" customFormat="1">
      <c r="G4324" s="340"/>
      <c r="L4324" s="340"/>
      <c r="P4324" s="340"/>
      <c r="U4324" s="340"/>
      <c r="V4324" s="340"/>
      <c r="Z4324" s="340"/>
      <c r="AE4324" s="340"/>
      <c r="AI4324" s="340"/>
      <c r="AN4324" s="340"/>
      <c r="AO4324" s="340"/>
      <c r="AS4324" s="340"/>
      <c r="AX4324" s="340"/>
      <c r="BB4324" s="340"/>
      <c r="BD4324" s="339"/>
    </row>
    <row r="4325" spans="7:56" s="338" customFormat="1">
      <c r="G4325" s="340"/>
      <c r="L4325" s="340"/>
      <c r="P4325" s="340"/>
      <c r="U4325" s="340"/>
      <c r="V4325" s="340"/>
      <c r="Z4325" s="340"/>
      <c r="AE4325" s="340"/>
      <c r="AI4325" s="340"/>
      <c r="AN4325" s="340"/>
      <c r="AO4325" s="340"/>
      <c r="AS4325" s="340"/>
      <c r="AX4325" s="340"/>
      <c r="BB4325" s="340"/>
      <c r="BD4325" s="339"/>
    </row>
    <row r="4326" spans="7:56" s="338" customFormat="1">
      <c r="G4326" s="340"/>
      <c r="L4326" s="340"/>
      <c r="P4326" s="340"/>
      <c r="U4326" s="340"/>
      <c r="V4326" s="340"/>
      <c r="Z4326" s="340"/>
      <c r="AE4326" s="340"/>
      <c r="AI4326" s="340"/>
      <c r="AN4326" s="340"/>
      <c r="AO4326" s="340"/>
      <c r="AS4326" s="340"/>
      <c r="AX4326" s="340"/>
      <c r="BB4326" s="340"/>
      <c r="BD4326" s="339"/>
    </row>
    <row r="4327" spans="7:56" s="338" customFormat="1">
      <c r="G4327" s="340"/>
      <c r="L4327" s="340"/>
      <c r="P4327" s="340"/>
      <c r="U4327" s="340"/>
      <c r="V4327" s="340"/>
      <c r="Z4327" s="340"/>
      <c r="AE4327" s="340"/>
      <c r="AI4327" s="340"/>
      <c r="AN4327" s="340"/>
      <c r="AO4327" s="340"/>
      <c r="AS4327" s="340"/>
      <c r="AX4327" s="340"/>
      <c r="BB4327" s="340"/>
      <c r="BD4327" s="339"/>
    </row>
    <row r="4328" spans="7:56" s="338" customFormat="1">
      <c r="G4328" s="340"/>
      <c r="L4328" s="340"/>
      <c r="P4328" s="340"/>
      <c r="U4328" s="340"/>
      <c r="V4328" s="340"/>
      <c r="Z4328" s="340"/>
      <c r="AE4328" s="340"/>
      <c r="AI4328" s="340"/>
      <c r="AN4328" s="340"/>
      <c r="AO4328" s="340"/>
      <c r="AS4328" s="340"/>
      <c r="AX4328" s="340"/>
      <c r="BB4328" s="340"/>
      <c r="BD4328" s="339"/>
    </row>
    <row r="4329" spans="7:56" s="338" customFormat="1">
      <c r="G4329" s="340"/>
      <c r="L4329" s="340"/>
      <c r="P4329" s="340"/>
      <c r="U4329" s="340"/>
      <c r="V4329" s="340"/>
      <c r="Z4329" s="340"/>
      <c r="AE4329" s="340"/>
      <c r="AI4329" s="340"/>
      <c r="AN4329" s="340"/>
      <c r="AO4329" s="340"/>
      <c r="AS4329" s="340"/>
      <c r="AX4329" s="340"/>
      <c r="BB4329" s="340"/>
      <c r="BD4329" s="339"/>
    </row>
    <row r="4330" spans="7:56" s="338" customFormat="1">
      <c r="G4330" s="340"/>
      <c r="L4330" s="340"/>
      <c r="P4330" s="340"/>
      <c r="U4330" s="340"/>
      <c r="V4330" s="340"/>
      <c r="Z4330" s="340"/>
      <c r="AE4330" s="340"/>
      <c r="AI4330" s="340"/>
      <c r="AN4330" s="340"/>
      <c r="AO4330" s="340"/>
      <c r="AS4330" s="340"/>
      <c r="AX4330" s="340"/>
      <c r="BB4330" s="340"/>
      <c r="BD4330" s="339"/>
    </row>
    <row r="4331" spans="7:56" s="338" customFormat="1">
      <c r="G4331" s="340"/>
      <c r="L4331" s="340"/>
      <c r="P4331" s="340"/>
      <c r="U4331" s="340"/>
      <c r="V4331" s="340"/>
      <c r="Z4331" s="340"/>
      <c r="AE4331" s="340"/>
      <c r="AI4331" s="340"/>
      <c r="AN4331" s="340"/>
      <c r="AO4331" s="340"/>
      <c r="AS4331" s="340"/>
      <c r="AX4331" s="340"/>
      <c r="BB4331" s="340"/>
      <c r="BD4331" s="339"/>
    </row>
    <row r="4332" spans="7:56" s="338" customFormat="1">
      <c r="G4332" s="340"/>
      <c r="L4332" s="340"/>
      <c r="P4332" s="340"/>
      <c r="U4332" s="340"/>
      <c r="V4332" s="340"/>
      <c r="Z4332" s="340"/>
      <c r="AE4332" s="340"/>
      <c r="AI4332" s="340"/>
      <c r="AN4332" s="340"/>
      <c r="AO4332" s="340"/>
      <c r="AS4332" s="340"/>
      <c r="AX4332" s="340"/>
      <c r="BB4332" s="340"/>
      <c r="BD4332" s="339"/>
    </row>
    <row r="4333" spans="7:56" s="338" customFormat="1">
      <c r="G4333" s="340"/>
      <c r="L4333" s="340"/>
      <c r="P4333" s="340"/>
      <c r="U4333" s="340"/>
      <c r="V4333" s="340"/>
      <c r="Z4333" s="340"/>
      <c r="AE4333" s="340"/>
      <c r="AI4333" s="340"/>
      <c r="AN4333" s="340"/>
      <c r="AO4333" s="340"/>
      <c r="AS4333" s="340"/>
      <c r="AX4333" s="340"/>
      <c r="BB4333" s="340"/>
      <c r="BD4333" s="339"/>
    </row>
    <row r="4334" spans="7:56" s="338" customFormat="1">
      <c r="G4334" s="340"/>
      <c r="L4334" s="340"/>
      <c r="P4334" s="340"/>
      <c r="U4334" s="340"/>
      <c r="V4334" s="340"/>
      <c r="Z4334" s="340"/>
      <c r="AE4334" s="340"/>
      <c r="AI4334" s="340"/>
      <c r="AN4334" s="340"/>
      <c r="AO4334" s="340"/>
      <c r="AS4334" s="340"/>
      <c r="AX4334" s="340"/>
      <c r="BB4334" s="340"/>
      <c r="BD4334" s="339"/>
    </row>
    <row r="4335" spans="7:56" s="338" customFormat="1">
      <c r="G4335" s="340"/>
      <c r="L4335" s="340"/>
      <c r="P4335" s="340"/>
      <c r="U4335" s="340"/>
      <c r="V4335" s="340"/>
      <c r="Z4335" s="340"/>
      <c r="AE4335" s="340"/>
      <c r="AI4335" s="340"/>
      <c r="AN4335" s="340"/>
      <c r="AO4335" s="340"/>
      <c r="AS4335" s="340"/>
      <c r="AX4335" s="340"/>
      <c r="BB4335" s="340"/>
      <c r="BD4335" s="339"/>
    </row>
    <row r="4336" spans="7:56" s="338" customFormat="1">
      <c r="G4336" s="340"/>
      <c r="L4336" s="340"/>
      <c r="P4336" s="340"/>
      <c r="U4336" s="340"/>
      <c r="V4336" s="340"/>
      <c r="Z4336" s="340"/>
      <c r="AE4336" s="340"/>
      <c r="AI4336" s="340"/>
      <c r="AN4336" s="340"/>
      <c r="AO4336" s="340"/>
      <c r="AS4336" s="340"/>
      <c r="AX4336" s="340"/>
      <c r="BB4336" s="340"/>
      <c r="BD4336" s="339"/>
    </row>
    <row r="4337" spans="7:56" s="338" customFormat="1">
      <c r="G4337" s="340"/>
      <c r="L4337" s="340"/>
      <c r="P4337" s="340"/>
      <c r="U4337" s="340"/>
      <c r="V4337" s="340"/>
      <c r="Z4337" s="340"/>
      <c r="AE4337" s="340"/>
      <c r="AI4337" s="340"/>
      <c r="AN4337" s="340"/>
      <c r="AO4337" s="340"/>
      <c r="AS4337" s="340"/>
      <c r="AX4337" s="340"/>
      <c r="BB4337" s="340"/>
      <c r="BD4337" s="339"/>
    </row>
    <row r="4338" spans="7:56" s="338" customFormat="1">
      <c r="G4338" s="340"/>
      <c r="L4338" s="340"/>
      <c r="P4338" s="340"/>
      <c r="U4338" s="340"/>
      <c r="V4338" s="340"/>
      <c r="Z4338" s="340"/>
      <c r="AE4338" s="340"/>
      <c r="AI4338" s="340"/>
      <c r="AN4338" s="340"/>
      <c r="AO4338" s="340"/>
      <c r="AS4338" s="340"/>
      <c r="AX4338" s="340"/>
      <c r="BB4338" s="340"/>
      <c r="BD4338" s="339"/>
    </row>
    <row r="4339" spans="7:56" s="338" customFormat="1">
      <c r="G4339" s="340"/>
      <c r="L4339" s="340"/>
      <c r="P4339" s="340"/>
      <c r="U4339" s="340"/>
      <c r="V4339" s="340"/>
      <c r="Z4339" s="340"/>
      <c r="AE4339" s="340"/>
      <c r="AI4339" s="340"/>
      <c r="AN4339" s="340"/>
      <c r="AO4339" s="340"/>
      <c r="AS4339" s="340"/>
      <c r="AX4339" s="340"/>
      <c r="BB4339" s="340"/>
      <c r="BD4339" s="339"/>
    </row>
    <row r="4340" spans="7:56" s="338" customFormat="1">
      <c r="G4340" s="340"/>
      <c r="L4340" s="340"/>
      <c r="P4340" s="340"/>
      <c r="U4340" s="340"/>
      <c r="V4340" s="340"/>
      <c r="Z4340" s="340"/>
      <c r="AE4340" s="340"/>
      <c r="AI4340" s="340"/>
      <c r="AN4340" s="340"/>
      <c r="AO4340" s="340"/>
      <c r="AS4340" s="340"/>
      <c r="AX4340" s="340"/>
      <c r="BB4340" s="340"/>
      <c r="BD4340" s="339"/>
    </row>
    <row r="4341" spans="7:56" s="338" customFormat="1">
      <c r="G4341" s="340"/>
      <c r="L4341" s="340"/>
      <c r="P4341" s="340"/>
      <c r="U4341" s="340"/>
      <c r="V4341" s="340"/>
      <c r="Z4341" s="340"/>
      <c r="AE4341" s="340"/>
      <c r="AI4341" s="340"/>
      <c r="AN4341" s="340"/>
      <c r="AO4341" s="340"/>
      <c r="AS4341" s="340"/>
      <c r="AX4341" s="340"/>
      <c r="BB4341" s="340"/>
      <c r="BD4341" s="339"/>
    </row>
    <row r="4342" spans="7:56" s="338" customFormat="1">
      <c r="G4342" s="340"/>
      <c r="L4342" s="340"/>
      <c r="P4342" s="340"/>
      <c r="U4342" s="340"/>
      <c r="V4342" s="340"/>
      <c r="Z4342" s="340"/>
      <c r="AE4342" s="340"/>
      <c r="AI4342" s="340"/>
      <c r="AN4342" s="340"/>
      <c r="AO4342" s="340"/>
      <c r="AS4342" s="340"/>
      <c r="AX4342" s="340"/>
      <c r="BB4342" s="340"/>
      <c r="BD4342" s="339"/>
    </row>
    <row r="4343" spans="7:56" s="338" customFormat="1">
      <c r="G4343" s="340"/>
      <c r="L4343" s="340"/>
      <c r="P4343" s="340"/>
      <c r="U4343" s="340"/>
      <c r="V4343" s="340"/>
      <c r="Z4343" s="340"/>
      <c r="AE4343" s="340"/>
      <c r="AI4343" s="340"/>
      <c r="AN4343" s="340"/>
      <c r="AO4343" s="340"/>
      <c r="AS4343" s="340"/>
      <c r="AX4343" s="340"/>
      <c r="BB4343" s="340"/>
      <c r="BD4343" s="339"/>
    </row>
    <row r="4344" spans="7:56" s="338" customFormat="1">
      <c r="G4344" s="340"/>
      <c r="L4344" s="340"/>
      <c r="P4344" s="340"/>
      <c r="U4344" s="340"/>
      <c r="V4344" s="340"/>
      <c r="Z4344" s="340"/>
      <c r="AE4344" s="340"/>
      <c r="AI4344" s="340"/>
      <c r="AN4344" s="340"/>
      <c r="AO4344" s="340"/>
      <c r="AS4344" s="340"/>
      <c r="AX4344" s="340"/>
      <c r="BB4344" s="340"/>
      <c r="BD4344" s="339"/>
    </row>
    <row r="4345" spans="7:56" s="338" customFormat="1">
      <c r="G4345" s="340"/>
      <c r="L4345" s="340"/>
      <c r="P4345" s="340"/>
      <c r="U4345" s="340"/>
      <c r="V4345" s="340"/>
      <c r="Z4345" s="340"/>
      <c r="AE4345" s="340"/>
      <c r="AI4345" s="340"/>
      <c r="AN4345" s="340"/>
      <c r="AO4345" s="340"/>
      <c r="AS4345" s="340"/>
      <c r="AX4345" s="340"/>
      <c r="BB4345" s="340"/>
      <c r="BD4345" s="339"/>
    </row>
    <row r="4346" spans="7:56" s="338" customFormat="1">
      <c r="G4346" s="340"/>
      <c r="L4346" s="340"/>
      <c r="P4346" s="340"/>
      <c r="U4346" s="340"/>
      <c r="V4346" s="340"/>
      <c r="Z4346" s="340"/>
      <c r="AE4346" s="340"/>
      <c r="AI4346" s="340"/>
      <c r="AN4346" s="340"/>
      <c r="AO4346" s="340"/>
      <c r="AS4346" s="340"/>
      <c r="AX4346" s="340"/>
      <c r="BB4346" s="340"/>
      <c r="BD4346" s="339"/>
    </row>
    <row r="4347" spans="7:56" s="338" customFormat="1">
      <c r="G4347" s="340"/>
      <c r="L4347" s="340"/>
      <c r="P4347" s="340"/>
      <c r="U4347" s="340"/>
      <c r="V4347" s="340"/>
      <c r="Z4347" s="340"/>
      <c r="AE4347" s="340"/>
      <c r="AI4347" s="340"/>
      <c r="AN4347" s="340"/>
      <c r="AO4347" s="340"/>
      <c r="AS4347" s="340"/>
      <c r="AX4347" s="340"/>
      <c r="BB4347" s="340"/>
      <c r="BD4347" s="339"/>
    </row>
    <row r="4348" spans="7:56" s="338" customFormat="1">
      <c r="G4348" s="340"/>
      <c r="L4348" s="340"/>
      <c r="P4348" s="340"/>
      <c r="U4348" s="340"/>
      <c r="V4348" s="340"/>
      <c r="Z4348" s="340"/>
      <c r="AE4348" s="340"/>
      <c r="AI4348" s="340"/>
      <c r="AN4348" s="340"/>
      <c r="AO4348" s="340"/>
      <c r="AS4348" s="340"/>
      <c r="AX4348" s="340"/>
      <c r="BB4348" s="340"/>
      <c r="BD4348" s="339"/>
    </row>
    <row r="4349" spans="7:56" s="338" customFormat="1">
      <c r="G4349" s="340"/>
      <c r="L4349" s="340"/>
      <c r="P4349" s="340"/>
      <c r="U4349" s="340"/>
      <c r="V4349" s="340"/>
      <c r="Z4349" s="340"/>
      <c r="AE4349" s="340"/>
      <c r="AI4349" s="340"/>
      <c r="AN4349" s="340"/>
      <c r="AO4349" s="340"/>
      <c r="AS4349" s="340"/>
      <c r="AX4349" s="340"/>
      <c r="BB4349" s="340"/>
      <c r="BD4349" s="339"/>
    </row>
    <row r="4350" spans="7:56" s="338" customFormat="1">
      <c r="G4350" s="340"/>
      <c r="L4350" s="340"/>
      <c r="P4350" s="340"/>
      <c r="U4350" s="340"/>
      <c r="V4350" s="340"/>
      <c r="Z4350" s="340"/>
      <c r="AE4350" s="340"/>
      <c r="AI4350" s="340"/>
      <c r="AN4350" s="340"/>
      <c r="AO4350" s="340"/>
      <c r="AS4350" s="340"/>
      <c r="AX4350" s="340"/>
      <c r="BB4350" s="340"/>
      <c r="BD4350" s="339"/>
    </row>
    <row r="4351" spans="7:56" s="338" customFormat="1">
      <c r="G4351" s="340"/>
      <c r="L4351" s="340"/>
      <c r="P4351" s="340"/>
      <c r="U4351" s="340"/>
      <c r="V4351" s="340"/>
      <c r="Z4351" s="340"/>
      <c r="AE4351" s="340"/>
      <c r="AI4351" s="340"/>
      <c r="AN4351" s="340"/>
      <c r="AO4351" s="340"/>
      <c r="AS4351" s="340"/>
      <c r="AX4351" s="340"/>
      <c r="BB4351" s="340"/>
      <c r="BD4351" s="339"/>
    </row>
    <row r="4352" spans="7:56" s="338" customFormat="1">
      <c r="G4352" s="340"/>
      <c r="L4352" s="340"/>
      <c r="P4352" s="340"/>
      <c r="U4352" s="340"/>
      <c r="V4352" s="340"/>
      <c r="Z4352" s="340"/>
      <c r="AE4352" s="340"/>
      <c r="AI4352" s="340"/>
      <c r="AN4352" s="340"/>
      <c r="AO4352" s="340"/>
      <c r="AS4352" s="340"/>
      <c r="AX4352" s="340"/>
      <c r="BB4352" s="340"/>
      <c r="BD4352" s="339"/>
    </row>
    <row r="4353" spans="7:56" s="338" customFormat="1">
      <c r="G4353" s="340"/>
      <c r="L4353" s="340"/>
      <c r="P4353" s="340"/>
      <c r="U4353" s="340"/>
      <c r="V4353" s="340"/>
      <c r="Z4353" s="340"/>
      <c r="AE4353" s="340"/>
      <c r="AI4353" s="340"/>
      <c r="AN4353" s="340"/>
      <c r="AO4353" s="340"/>
      <c r="AS4353" s="340"/>
      <c r="AX4353" s="340"/>
      <c r="BB4353" s="340"/>
      <c r="BD4353" s="339"/>
    </row>
    <row r="4354" spans="7:56" s="338" customFormat="1">
      <c r="G4354" s="340"/>
      <c r="L4354" s="340"/>
      <c r="P4354" s="340"/>
      <c r="U4354" s="340"/>
      <c r="V4354" s="340"/>
      <c r="Z4354" s="340"/>
      <c r="AE4354" s="340"/>
      <c r="AI4354" s="340"/>
      <c r="AN4354" s="340"/>
      <c r="AO4354" s="340"/>
      <c r="AS4354" s="340"/>
      <c r="AX4354" s="340"/>
      <c r="BB4354" s="340"/>
      <c r="BD4354" s="339"/>
    </row>
    <row r="4355" spans="7:56" s="338" customFormat="1">
      <c r="G4355" s="340"/>
      <c r="L4355" s="340"/>
      <c r="P4355" s="340"/>
      <c r="U4355" s="340"/>
      <c r="V4355" s="340"/>
      <c r="Z4355" s="340"/>
      <c r="AE4355" s="340"/>
      <c r="AI4355" s="340"/>
      <c r="AN4355" s="340"/>
      <c r="AO4355" s="340"/>
      <c r="AS4355" s="340"/>
      <c r="AX4355" s="340"/>
      <c r="BB4355" s="340"/>
      <c r="BD4355" s="339"/>
    </row>
    <row r="4356" spans="7:56" s="338" customFormat="1">
      <c r="G4356" s="340"/>
      <c r="L4356" s="340"/>
      <c r="P4356" s="340"/>
      <c r="U4356" s="340"/>
      <c r="V4356" s="340"/>
      <c r="Z4356" s="340"/>
      <c r="AE4356" s="340"/>
      <c r="AI4356" s="340"/>
      <c r="AN4356" s="340"/>
      <c r="AO4356" s="340"/>
      <c r="AS4356" s="340"/>
      <c r="AX4356" s="340"/>
      <c r="BB4356" s="340"/>
      <c r="BD4356" s="339"/>
    </row>
    <row r="4357" spans="7:56" s="338" customFormat="1">
      <c r="G4357" s="340"/>
      <c r="L4357" s="340"/>
      <c r="P4357" s="340"/>
      <c r="U4357" s="340"/>
      <c r="V4357" s="340"/>
      <c r="Z4357" s="340"/>
      <c r="AE4357" s="340"/>
      <c r="AI4357" s="340"/>
      <c r="AN4357" s="340"/>
      <c r="AO4357" s="340"/>
      <c r="AS4357" s="340"/>
      <c r="AX4357" s="340"/>
      <c r="BB4357" s="340"/>
      <c r="BD4357" s="339"/>
    </row>
    <row r="4358" spans="7:56" s="338" customFormat="1">
      <c r="G4358" s="340"/>
      <c r="L4358" s="340"/>
      <c r="P4358" s="340"/>
      <c r="U4358" s="340"/>
      <c r="V4358" s="340"/>
      <c r="Z4358" s="340"/>
      <c r="AE4358" s="340"/>
      <c r="AI4358" s="340"/>
      <c r="AN4358" s="340"/>
      <c r="AO4358" s="340"/>
      <c r="AS4358" s="340"/>
      <c r="AX4358" s="340"/>
      <c r="BB4358" s="340"/>
      <c r="BD4358" s="339"/>
    </row>
    <row r="4359" spans="7:56" s="338" customFormat="1">
      <c r="G4359" s="340"/>
      <c r="L4359" s="340"/>
      <c r="P4359" s="340"/>
      <c r="U4359" s="340"/>
      <c r="V4359" s="340"/>
      <c r="Z4359" s="340"/>
      <c r="AE4359" s="340"/>
      <c r="AI4359" s="340"/>
      <c r="AN4359" s="340"/>
      <c r="AO4359" s="340"/>
      <c r="AS4359" s="340"/>
      <c r="AX4359" s="340"/>
      <c r="BB4359" s="340"/>
      <c r="BD4359" s="339"/>
    </row>
    <row r="4360" spans="7:56" s="338" customFormat="1">
      <c r="G4360" s="340"/>
      <c r="L4360" s="340"/>
      <c r="P4360" s="340"/>
      <c r="U4360" s="340"/>
      <c r="V4360" s="340"/>
      <c r="Z4360" s="340"/>
      <c r="AE4360" s="340"/>
      <c r="AI4360" s="340"/>
      <c r="AN4360" s="340"/>
      <c r="AO4360" s="340"/>
      <c r="AS4360" s="340"/>
      <c r="AX4360" s="340"/>
      <c r="BB4360" s="340"/>
      <c r="BD4360" s="339"/>
    </row>
    <row r="4361" spans="7:56" s="338" customFormat="1">
      <c r="G4361" s="340"/>
      <c r="L4361" s="340"/>
      <c r="P4361" s="340"/>
      <c r="U4361" s="340"/>
      <c r="V4361" s="340"/>
      <c r="Z4361" s="340"/>
      <c r="AE4361" s="340"/>
      <c r="AI4361" s="340"/>
      <c r="AN4361" s="340"/>
      <c r="AO4361" s="340"/>
      <c r="AS4361" s="340"/>
      <c r="AX4361" s="340"/>
      <c r="BB4361" s="340"/>
      <c r="BD4361" s="339"/>
    </row>
    <row r="4362" spans="7:56" s="338" customFormat="1">
      <c r="G4362" s="340"/>
      <c r="L4362" s="340"/>
      <c r="P4362" s="340"/>
      <c r="U4362" s="340"/>
      <c r="V4362" s="340"/>
      <c r="Z4362" s="340"/>
      <c r="AE4362" s="340"/>
      <c r="AI4362" s="340"/>
      <c r="AN4362" s="340"/>
      <c r="AO4362" s="340"/>
      <c r="AS4362" s="340"/>
      <c r="AX4362" s="340"/>
      <c r="BB4362" s="340"/>
      <c r="BD4362" s="339"/>
    </row>
    <row r="4363" spans="7:56" s="338" customFormat="1">
      <c r="G4363" s="340"/>
      <c r="L4363" s="340"/>
      <c r="P4363" s="340"/>
      <c r="U4363" s="340"/>
      <c r="V4363" s="340"/>
      <c r="Z4363" s="340"/>
      <c r="AE4363" s="340"/>
      <c r="AI4363" s="340"/>
      <c r="AN4363" s="340"/>
      <c r="AO4363" s="340"/>
      <c r="AS4363" s="340"/>
      <c r="AX4363" s="340"/>
      <c r="BB4363" s="340"/>
      <c r="BD4363" s="339"/>
    </row>
    <row r="4364" spans="7:56" s="338" customFormat="1">
      <c r="G4364" s="340"/>
      <c r="L4364" s="340"/>
      <c r="P4364" s="340"/>
      <c r="U4364" s="340"/>
      <c r="V4364" s="340"/>
      <c r="Z4364" s="340"/>
      <c r="AE4364" s="340"/>
      <c r="AI4364" s="340"/>
      <c r="AN4364" s="340"/>
      <c r="AO4364" s="340"/>
      <c r="AS4364" s="340"/>
      <c r="AX4364" s="340"/>
      <c r="BB4364" s="340"/>
      <c r="BD4364" s="339"/>
    </row>
    <row r="4365" spans="7:56" s="338" customFormat="1">
      <c r="G4365" s="340"/>
      <c r="L4365" s="340"/>
      <c r="P4365" s="340"/>
      <c r="U4365" s="340"/>
      <c r="V4365" s="340"/>
      <c r="Z4365" s="340"/>
      <c r="AE4365" s="340"/>
      <c r="AI4365" s="340"/>
      <c r="AN4365" s="340"/>
      <c r="AO4365" s="340"/>
      <c r="AS4365" s="340"/>
      <c r="AX4365" s="340"/>
      <c r="BB4365" s="340"/>
      <c r="BD4365" s="339"/>
    </row>
    <row r="4366" spans="7:56" s="338" customFormat="1">
      <c r="G4366" s="340"/>
      <c r="L4366" s="340"/>
      <c r="P4366" s="340"/>
      <c r="U4366" s="340"/>
      <c r="V4366" s="340"/>
      <c r="Z4366" s="340"/>
      <c r="AE4366" s="340"/>
      <c r="AI4366" s="340"/>
      <c r="AN4366" s="340"/>
      <c r="AO4366" s="340"/>
      <c r="AS4366" s="340"/>
      <c r="AX4366" s="340"/>
      <c r="BB4366" s="340"/>
      <c r="BD4366" s="339"/>
    </row>
    <row r="4367" spans="7:56" s="338" customFormat="1">
      <c r="G4367" s="340"/>
      <c r="L4367" s="340"/>
      <c r="P4367" s="340"/>
      <c r="U4367" s="340"/>
      <c r="V4367" s="340"/>
      <c r="Z4367" s="340"/>
      <c r="AE4367" s="340"/>
      <c r="AI4367" s="340"/>
      <c r="AN4367" s="340"/>
      <c r="AO4367" s="340"/>
      <c r="AS4367" s="340"/>
      <c r="AX4367" s="340"/>
      <c r="BB4367" s="340"/>
      <c r="BD4367" s="339"/>
    </row>
    <row r="4368" spans="7:56" s="338" customFormat="1">
      <c r="G4368" s="340"/>
      <c r="L4368" s="340"/>
      <c r="P4368" s="340"/>
      <c r="U4368" s="340"/>
      <c r="V4368" s="340"/>
      <c r="Z4368" s="340"/>
      <c r="AE4368" s="340"/>
      <c r="AI4368" s="340"/>
      <c r="AN4368" s="340"/>
      <c r="AO4368" s="340"/>
      <c r="AS4368" s="340"/>
      <c r="AX4368" s="340"/>
      <c r="BB4368" s="340"/>
      <c r="BD4368" s="339"/>
    </row>
    <row r="4369" spans="7:56" s="338" customFormat="1">
      <c r="G4369" s="340"/>
      <c r="L4369" s="340"/>
      <c r="P4369" s="340"/>
      <c r="U4369" s="340"/>
      <c r="V4369" s="340"/>
      <c r="Z4369" s="340"/>
      <c r="AE4369" s="340"/>
      <c r="AI4369" s="340"/>
      <c r="AN4369" s="340"/>
      <c r="AO4369" s="340"/>
      <c r="AS4369" s="340"/>
      <c r="AX4369" s="340"/>
      <c r="BB4369" s="340"/>
      <c r="BD4369" s="339"/>
    </row>
    <row r="4370" spans="7:56" s="338" customFormat="1">
      <c r="G4370" s="340"/>
      <c r="L4370" s="340"/>
      <c r="P4370" s="340"/>
      <c r="U4370" s="340"/>
      <c r="V4370" s="340"/>
      <c r="Z4370" s="340"/>
      <c r="AE4370" s="340"/>
      <c r="AI4370" s="340"/>
      <c r="AN4370" s="340"/>
      <c r="AO4370" s="340"/>
      <c r="AS4370" s="340"/>
      <c r="AX4370" s="340"/>
      <c r="BB4370" s="340"/>
      <c r="BD4370" s="339"/>
    </row>
    <row r="4371" spans="7:56" s="338" customFormat="1">
      <c r="G4371" s="340"/>
      <c r="L4371" s="340"/>
      <c r="P4371" s="340"/>
      <c r="U4371" s="340"/>
      <c r="V4371" s="340"/>
      <c r="Z4371" s="340"/>
      <c r="AE4371" s="340"/>
      <c r="AI4371" s="340"/>
      <c r="AN4371" s="340"/>
      <c r="AO4371" s="340"/>
      <c r="AS4371" s="340"/>
      <c r="AX4371" s="340"/>
      <c r="BB4371" s="340"/>
      <c r="BD4371" s="339"/>
    </row>
    <row r="4372" spans="7:56" s="338" customFormat="1">
      <c r="G4372" s="340"/>
      <c r="L4372" s="340"/>
      <c r="P4372" s="340"/>
      <c r="U4372" s="340"/>
      <c r="V4372" s="340"/>
      <c r="Z4372" s="340"/>
      <c r="AE4372" s="340"/>
      <c r="AI4372" s="340"/>
      <c r="AN4372" s="340"/>
      <c r="AO4372" s="340"/>
      <c r="AS4372" s="340"/>
      <c r="AX4372" s="340"/>
      <c r="BB4372" s="340"/>
      <c r="BD4372" s="339"/>
    </row>
    <row r="4373" spans="7:56" s="338" customFormat="1">
      <c r="G4373" s="340"/>
      <c r="L4373" s="340"/>
      <c r="P4373" s="340"/>
      <c r="U4373" s="340"/>
      <c r="V4373" s="340"/>
      <c r="Z4373" s="340"/>
      <c r="AE4373" s="340"/>
      <c r="AI4373" s="340"/>
      <c r="AN4373" s="340"/>
      <c r="AO4373" s="340"/>
      <c r="AS4373" s="340"/>
      <c r="AX4373" s="340"/>
      <c r="BB4373" s="340"/>
      <c r="BD4373" s="339"/>
    </row>
    <row r="4374" spans="7:56" s="338" customFormat="1">
      <c r="G4374" s="340"/>
      <c r="L4374" s="340"/>
      <c r="P4374" s="340"/>
      <c r="U4374" s="340"/>
      <c r="V4374" s="340"/>
      <c r="Z4374" s="340"/>
      <c r="AE4374" s="340"/>
      <c r="AI4374" s="340"/>
      <c r="AN4374" s="340"/>
      <c r="AO4374" s="340"/>
      <c r="AS4374" s="340"/>
      <c r="AX4374" s="340"/>
      <c r="BB4374" s="340"/>
      <c r="BD4374" s="339"/>
    </row>
    <row r="4375" spans="7:56" s="338" customFormat="1">
      <c r="G4375" s="340"/>
      <c r="L4375" s="340"/>
      <c r="P4375" s="340"/>
      <c r="U4375" s="340"/>
      <c r="V4375" s="340"/>
      <c r="Z4375" s="340"/>
      <c r="AE4375" s="340"/>
      <c r="AI4375" s="340"/>
      <c r="AN4375" s="340"/>
      <c r="AO4375" s="340"/>
      <c r="AS4375" s="340"/>
      <c r="AX4375" s="340"/>
      <c r="BB4375" s="340"/>
      <c r="BD4375" s="339"/>
    </row>
    <row r="4376" spans="7:56" s="338" customFormat="1">
      <c r="G4376" s="340"/>
      <c r="L4376" s="340"/>
      <c r="P4376" s="340"/>
      <c r="U4376" s="340"/>
      <c r="V4376" s="340"/>
      <c r="Z4376" s="340"/>
      <c r="AE4376" s="340"/>
      <c r="AI4376" s="340"/>
      <c r="AN4376" s="340"/>
      <c r="AO4376" s="340"/>
      <c r="AS4376" s="340"/>
      <c r="AX4376" s="340"/>
      <c r="BB4376" s="340"/>
      <c r="BD4376" s="339"/>
    </row>
    <row r="4377" spans="7:56" s="338" customFormat="1">
      <c r="G4377" s="340"/>
      <c r="L4377" s="340"/>
      <c r="P4377" s="340"/>
      <c r="U4377" s="340"/>
      <c r="V4377" s="340"/>
      <c r="Z4377" s="340"/>
      <c r="AE4377" s="340"/>
      <c r="AI4377" s="340"/>
      <c r="AN4377" s="340"/>
      <c r="AO4377" s="340"/>
      <c r="AS4377" s="340"/>
      <c r="AX4377" s="340"/>
      <c r="BB4377" s="340"/>
      <c r="BD4377" s="339"/>
    </row>
    <row r="4378" spans="7:56" s="338" customFormat="1">
      <c r="G4378" s="340"/>
      <c r="L4378" s="340"/>
      <c r="P4378" s="340"/>
      <c r="U4378" s="340"/>
      <c r="V4378" s="340"/>
      <c r="Z4378" s="340"/>
      <c r="AE4378" s="340"/>
      <c r="AI4378" s="340"/>
      <c r="AN4378" s="340"/>
      <c r="AO4378" s="340"/>
      <c r="AS4378" s="340"/>
      <c r="AX4378" s="340"/>
      <c r="BB4378" s="340"/>
      <c r="BD4378" s="339"/>
    </row>
    <row r="4379" spans="7:56" s="338" customFormat="1">
      <c r="G4379" s="340"/>
      <c r="L4379" s="340"/>
      <c r="P4379" s="340"/>
      <c r="U4379" s="340"/>
      <c r="V4379" s="340"/>
      <c r="Z4379" s="340"/>
      <c r="AE4379" s="340"/>
      <c r="AI4379" s="340"/>
      <c r="AN4379" s="340"/>
      <c r="AO4379" s="340"/>
      <c r="AS4379" s="340"/>
      <c r="AX4379" s="340"/>
      <c r="BB4379" s="340"/>
      <c r="BD4379" s="339"/>
    </row>
    <row r="4380" spans="7:56" s="338" customFormat="1">
      <c r="G4380" s="340"/>
      <c r="L4380" s="340"/>
      <c r="P4380" s="340"/>
      <c r="U4380" s="340"/>
      <c r="V4380" s="340"/>
      <c r="Z4380" s="340"/>
      <c r="AE4380" s="340"/>
      <c r="AI4380" s="340"/>
      <c r="AN4380" s="340"/>
      <c r="AO4380" s="340"/>
      <c r="AS4380" s="340"/>
      <c r="AX4380" s="340"/>
      <c r="BB4380" s="340"/>
      <c r="BD4380" s="339"/>
    </row>
    <row r="4381" spans="7:56" s="338" customFormat="1">
      <c r="G4381" s="340"/>
      <c r="L4381" s="340"/>
      <c r="P4381" s="340"/>
      <c r="U4381" s="340"/>
      <c r="V4381" s="340"/>
      <c r="Z4381" s="340"/>
      <c r="AE4381" s="340"/>
      <c r="AI4381" s="340"/>
      <c r="AN4381" s="340"/>
      <c r="AO4381" s="340"/>
      <c r="AS4381" s="340"/>
      <c r="AX4381" s="340"/>
      <c r="BB4381" s="340"/>
      <c r="BD4381" s="339"/>
    </row>
    <row r="4382" spans="7:56" s="338" customFormat="1">
      <c r="G4382" s="340"/>
      <c r="L4382" s="340"/>
      <c r="P4382" s="340"/>
      <c r="U4382" s="340"/>
      <c r="V4382" s="340"/>
      <c r="Z4382" s="340"/>
      <c r="AE4382" s="340"/>
      <c r="AI4382" s="340"/>
      <c r="AN4382" s="340"/>
      <c r="AO4382" s="340"/>
      <c r="AS4382" s="340"/>
      <c r="AX4382" s="340"/>
      <c r="BB4382" s="340"/>
      <c r="BD4382" s="339"/>
    </row>
    <row r="4383" spans="7:56" s="338" customFormat="1">
      <c r="G4383" s="340"/>
      <c r="L4383" s="340"/>
      <c r="P4383" s="340"/>
      <c r="U4383" s="340"/>
      <c r="V4383" s="340"/>
      <c r="Z4383" s="340"/>
      <c r="AE4383" s="340"/>
      <c r="AI4383" s="340"/>
      <c r="AN4383" s="340"/>
      <c r="AO4383" s="340"/>
      <c r="AS4383" s="340"/>
      <c r="AX4383" s="340"/>
      <c r="BB4383" s="340"/>
      <c r="BD4383" s="339"/>
    </row>
    <row r="4384" spans="7:56" s="338" customFormat="1">
      <c r="G4384" s="340"/>
      <c r="L4384" s="340"/>
      <c r="P4384" s="340"/>
      <c r="U4384" s="340"/>
      <c r="V4384" s="340"/>
      <c r="Z4384" s="340"/>
      <c r="AE4384" s="340"/>
      <c r="AI4384" s="340"/>
      <c r="AN4384" s="340"/>
      <c r="AO4384" s="340"/>
      <c r="AS4384" s="340"/>
      <c r="AX4384" s="340"/>
      <c r="BB4384" s="340"/>
      <c r="BD4384" s="339"/>
    </row>
    <row r="4385" spans="7:56" s="338" customFormat="1">
      <c r="G4385" s="340"/>
      <c r="L4385" s="340"/>
      <c r="P4385" s="340"/>
      <c r="U4385" s="340"/>
      <c r="V4385" s="340"/>
      <c r="Z4385" s="340"/>
      <c r="AE4385" s="340"/>
      <c r="AI4385" s="340"/>
      <c r="AN4385" s="340"/>
      <c r="AO4385" s="340"/>
      <c r="AS4385" s="340"/>
      <c r="AX4385" s="340"/>
      <c r="BB4385" s="340"/>
      <c r="BD4385" s="339"/>
    </row>
    <row r="4386" spans="7:56" s="338" customFormat="1">
      <c r="G4386" s="340"/>
      <c r="L4386" s="340"/>
      <c r="P4386" s="340"/>
      <c r="U4386" s="340"/>
      <c r="V4386" s="340"/>
      <c r="Z4386" s="340"/>
      <c r="AE4386" s="340"/>
      <c r="AI4386" s="340"/>
      <c r="AN4386" s="340"/>
      <c r="AO4386" s="340"/>
      <c r="AS4386" s="340"/>
      <c r="AX4386" s="340"/>
      <c r="BB4386" s="340"/>
      <c r="BD4386" s="339"/>
    </row>
    <row r="4387" spans="7:56" s="338" customFormat="1">
      <c r="G4387" s="340"/>
      <c r="L4387" s="340"/>
      <c r="P4387" s="340"/>
      <c r="U4387" s="340"/>
      <c r="V4387" s="340"/>
      <c r="Z4387" s="340"/>
      <c r="AE4387" s="340"/>
      <c r="AI4387" s="340"/>
      <c r="AN4387" s="340"/>
      <c r="AO4387" s="340"/>
      <c r="AS4387" s="340"/>
      <c r="AX4387" s="340"/>
      <c r="BB4387" s="340"/>
      <c r="BD4387" s="339"/>
    </row>
    <row r="4388" spans="7:56" s="338" customFormat="1">
      <c r="G4388" s="340"/>
      <c r="L4388" s="340"/>
      <c r="P4388" s="340"/>
      <c r="U4388" s="340"/>
      <c r="V4388" s="340"/>
      <c r="Z4388" s="340"/>
      <c r="AE4388" s="340"/>
      <c r="AI4388" s="340"/>
      <c r="AN4388" s="340"/>
      <c r="AO4388" s="340"/>
      <c r="AS4388" s="340"/>
      <c r="AX4388" s="340"/>
      <c r="BB4388" s="340"/>
      <c r="BD4388" s="339"/>
    </row>
    <row r="4389" spans="7:56" s="338" customFormat="1">
      <c r="G4389" s="340"/>
      <c r="L4389" s="340"/>
      <c r="P4389" s="340"/>
      <c r="U4389" s="340"/>
      <c r="V4389" s="340"/>
      <c r="Z4389" s="340"/>
      <c r="AE4389" s="340"/>
      <c r="AI4389" s="340"/>
      <c r="AN4389" s="340"/>
      <c r="AO4389" s="340"/>
      <c r="AS4389" s="340"/>
      <c r="AX4389" s="340"/>
      <c r="BB4389" s="340"/>
      <c r="BD4389" s="339"/>
    </row>
    <row r="4390" spans="7:56" s="338" customFormat="1">
      <c r="G4390" s="340"/>
      <c r="L4390" s="340"/>
      <c r="P4390" s="340"/>
      <c r="U4390" s="340"/>
      <c r="V4390" s="340"/>
      <c r="Z4390" s="340"/>
      <c r="AE4390" s="340"/>
      <c r="AI4390" s="340"/>
      <c r="AN4390" s="340"/>
      <c r="AO4390" s="340"/>
      <c r="AS4390" s="340"/>
      <c r="AX4390" s="340"/>
      <c r="BB4390" s="340"/>
      <c r="BD4390" s="339"/>
    </row>
    <row r="4391" spans="7:56" s="338" customFormat="1">
      <c r="G4391" s="340"/>
      <c r="L4391" s="340"/>
      <c r="P4391" s="340"/>
      <c r="U4391" s="340"/>
      <c r="V4391" s="340"/>
      <c r="Z4391" s="340"/>
      <c r="AE4391" s="340"/>
      <c r="AI4391" s="340"/>
      <c r="AN4391" s="340"/>
      <c r="AO4391" s="340"/>
      <c r="AS4391" s="340"/>
      <c r="AX4391" s="340"/>
      <c r="BB4391" s="340"/>
      <c r="BD4391" s="339"/>
    </row>
    <row r="4392" spans="7:56" s="338" customFormat="1">
      <c r="G4392" s="340"/>
      <c r="L4392" s="340"/>
      <c r="P4392" s="340"/>
      <c r="U4392" s="340"/>
      <c r="V4392" s="340"/>
      <c r="Z4392" s="340"/>
      <c r="AE4392" s="340"/>
      <c r="AI4392" s="340"/>
      <c r="AN4392" s="340"/>
      <c r="AO4392" s="340"/>
      <c r="AS4392" s="340"/>
      <c r="AX4392" s="340"/>
      <c r="BB4392" s="340"/>
      <c r="BD4392" s="339"/>
    </row>
    <row r="4393" spans="7:56" s="338" customFormat="1">
      <c r="G4393" s="340"/>
      <c r="L4393" s="340"/>
      <c r="P4393" s="340"/>
      <c r="U4393" s="340"/>
      <c r="V4393" s="340"/>
      <c r="Z4393" s="340"/>
      <c r="AE4393" s="340"/>
      <c r="AI4393" s="340"/>
      <c r="AN4393" s="340"/>
      <c r="AO4393" s="340"/>
      <c r="AS4393" s="340"/>
      <c r="AX4393" s="340"/>
      <c r="BB4393" s="340"/>
      <c r="BD4393" s="339"/>
    </row>
    <row r="4394" spans="7:56" s="338" customFormat="1">
      <c r="G4394" s="340"/>
      <c r="L4394" s="340"/>
      <c r="P4394" s="340"/>
      <c r="U4394" s="340"/>
      <c r="V4394" s="340"/>
      <c r="Z4394" s="340"/>
      <c r="AE4394" s="340"/>
      <c r="AI4394" s="340"/>
      <c r="AN4394" s="340"/>
      <c r="AO4394" s="340"/>
      <c r="AS4394" s="340"/>
      <c r="AX4394" s="340"/>
      <c r="BB4394" s="340"/>
      <c r="BD4394" s="339"/>
    </row>
    <row r="4395" spans="7:56" s="338" customFormat="1">
      <c r="G4395" s="340"/>
      <c r="L4395" s="340"/>
      <c r="P4395" s="340"/>
      <c r="U4395" s="340"/>
      <c r="V4395" s="340"/>
      <c r="Z4395" s="340"/>
      <c r="AE4395" s="340"/>
      <c r="AI4395" s="340"/>
      <c r="AN4395" s="340"/>
      <c r="AO4395" s="340"/>
      <c r="AS4395" s="340"/>
      <c r="AX4395" s="340"/>
      <c r="BB4395" s="340"/>
      <c r="BD4395" s="339"/>
    </row>
    <row r="4396" spans="7:56" s="338" customFormat="1">
      <c r="G4396" s="340"/>
      <c r="L4396" s="340"/>
      <c r="P4396" s="340"/>
      <c r="U4396" s="340"/>
      <c r="V4396" s="340"/>
      <c r="Z4396" s="340"/>
      <c r="AE4396" s="340"/>
      <c r="AI4396" s="340"/>
      <c r="AN4396" s="340"/>
      <c r="AO4396" s="340"/>
      <c r="AS4396" s="340"/>
      <c r="AX4396" s="340"/>
      <c r="BB4396" s="340"/>
      <c r="BD4396" s="339"/>
    </row>
    <row r="4397" spans="7:56" s="338" customFormat="1">
      <c r="G4397" s="340"/>
      <c r="L4397" s="340"/>
      <c r="P4397" s="340"/>
      <c r="U4397" s="340"/>
      <c r="V4397" s="340"/>
      <c r="Z4397" s="340"/>
      <c r="AE4397" s="340"/>
      <c r="AI4397" s="340"/>
      <c r="AN4397" s="340"/>
      <c r="AO4397" s="340"/>
      <c r="AS4397" s="340"/>
      <c r="AX4397" s="340"/>
      <c r="BB4397" s="340"/>
      <c r="BD4397" s="339"/>
    </row>
    <row r="4398" spans="7:56" s="338" customFormat="1">
      <c r="G4398" s="340"/>
      <c r="L4398" s="340"/>
      <c r="P4398" s="340"/>
      <c r="U4398" s="340"/>
      <c r="V4398" s="340"/>
      <c r="Z4398" s="340"/>
      <c r="AE4398" s="340"/>
      <c r="AI4398" s="340"/>
      <c r="AN4398" s="340"/>
      <c r="AO4398" s="340"/>
      <c r="AS4398" s="340"/>
      <c r="AX4398" s="340"/>
      <c r="BB4398" s="340"/>
      <c r="BD4398" s="339"/>
    </row>
    <row r="4399" spans="7:56" s="338" customFormat="1">
      <c r="G4399" s="340"/>
      <c r="L4399" s="340"/>
      <c r="P4399" s="340"/>
      <c r="U4399" s="340"/>
      <c r="V4399" s="340"/>
      <c r="Z4399" s="340"/>
      <c r="AE4399" s="340"/>
      <c r="AI4399" s="340"/>
      <c r="AN4399" s="340"/>
      <c r="AO4399" s="340"/>
      <c r="AS4399" s="340"/>
      <c r="AX4399" s="340"/>
      <c r="BB4399" s="340"/>
      <c r="BD4399" s="339"/>
    </row>
    <row r="4400" spans="7:56" s="338" customFormat="1">
      <c r="G4400" s="340"/>
      <c r="L4400" s="340"/>
      <c r="P4400" s="340"/>
      <c r="U4400" s="340"/>
      <c r="V4400" s="340"/>
      <c r="Z4400" s="340"/>
      <c r="AE4400" s="340"/>
      <c r="AI4400" s="340"/>
      <c r="AN4400" s="340"/>
      <c r="AO4400" s="340"/>
      <c r="AS4400" s="340"/>
      <c r="AX4400" s="340"/>
      <c r="BB4400" s="340"/>
      <c r="BD4400" s="339"/>
    </row>
    <row r="4401" spans="7:56" s="338" customFormat="1">
      <c r="G4401" s="340"/>
      <c r="L4401" s="340"/>
      <c r="P4401" s="340"/>
      <c r="U4401" s="340"/>
      <c r="V4401" s="340"/>
      <c r="Z4401" s="340"/>
      <c r="AE4401" s="340"/>
      <c r="AI4401" s="340"/>
      <c r="AN4401" s="340"/>
      <c r="AO4401" s="340"/>
      <c r="AS4401" s="340"/>
      <c r="AX4401" s="340"/>
      <c r="BB4401" s="340"/>
      <c r="BD4401" s="339"/>
    </row>
    <row r="4402" spans="7:56" s="338" customFormat="1">
      <c r="G4402" s="340"/>
      <c r="L4402" s="340"/>
      <c r="P4402" s="340"/>
      <c r="U4402" s="340"/>
      <c r="V4402" s="340"/>
      <c r="Z4402" s="340"/>
      <c r="AE4402" s="340"/>
      <c r="AI4402" s="340"/>
      <c r="AN4402" s="340"/>
      <c r="AO4402" s="340"/>
      <c r="AS4402" s="340"/>
      <c r="AX4402" s="340"/>
      <c r="BB4402" s="340"/>
      <c r="BD4402" s="339"/>
    </row>
    <row r="4403" spans="7:56" s="338" customFormat="1">
      <c r="G4403" s="340"/>
      <c r="L4403" s="340"/>
      <c r="P4403" s="340"/>
      <c r="U4403" s="340"/>
      <c r="V4403" s="340"/>
      <c r="Z4403" s="340"/>
      <c r="AE4403" s="340"/>
      <c r="AI4403" s="340"/>
      <c r="AN4403" s="340"/>
      <c r="AO4403" s="340"/>
      <c r="AS4403" s="340"/>
      <c r="AX4403" s="340"/>
      <c r="BB4403" s="340"/>
      <c r="BD4403" s="339"/>
    </row>
    <row r="4404" spans="7:56" s="338" customFormat="1">
      <c r="G4404" s="340"/>
      <c r="L4404" s="340"/>
      <c r="P4404" s="340"/>
      <c r="U4404" s="340"/>
      <c r="V4404" s="340"/>
      <c r="Z4404" s="340"/>
      <c r="AE4404" s="340"/>
      <c r="AI4404" s="340"/>
      <c r="AN4404" s="340"/>
      <c r="AO4404" s="340"/>
      <c r="AS4404" s="340"/>
      <c r="AX4404" s="340"/>
      <c r="BB4404" s="340"/>
      <c r="BD4404" s="339"/>
    </row>
    <row r="4405" spans="7:56" s="338" customFormat="1">
      <c r="G4405" s="340"/>
      <c r="L4405" s="340"/>
      <c r="P4405" s="340"/>
      <c r="U4405" s="340"/>
      <c r="V4405" s="340"/>
      <c r="Z4405" s="340"/>
      <c r="AE4405" s="340"/>
      <c r="AI4405" s="340"/>
      <c r="AN4405" s="340"/>
      <c r="AO4405" s="340"/>
      <c r="AS4405" s="340"/>
      <c r="AX4405" s="340"/>
      <c r="BB4405" s="340"/>
      <c r="BD4405" s="339"/>
    </row>
    <row r="4406" spans="7:56" s="338" customFormat="1">
      <c r="G4406" s="340"/>
      <c r="L4406" s="340"/>
      <c r="P4406" s="340"/>
      <c r="U4406" s="340"/>
      <c r="V4406" s="340"/>
      <c r="Z4406" s="340"/>
      <c r="AE4406" s="340"/>
      <c r="AI4406" s="340"/>
      <c r="AN4406" s="340"/>
      <c r="AO4406" s="340"/>
      <c r="AS4406" s="340"/>
      <c r="AX4406" s="340"/>
      <c r="BB4406" s="340"/>
      <c r="BD4406" s="339"/>
    </row>
    <row r="4407" spans="7:56" s="338" customFormat="1">
      <c r="G4407" s="340"/>
      <c r="L4407" s="340"/>
      <c r="P4407" s="340"/>
      <c r="U4407" s="340"/>
      <c r="V4407" s="340"/>
      <c r="Z4407" s="340"/>
      <c r="AE4407" s="340"/>
      <c r="AI4407" s="340"/>
      <c r="AN4407" s="340"/>
      <c r="AO4407" s="340"/>
      <c r="AS4407" s="340"/>
      <c r="AX4407" s="340"/>
      <c r="BB4407" s="340"/>
      <c r="BD4407" s="339"/>
    </row>
    <row r="4408" spans="7:56" s="338" customFormat="1">
      <c r="G4408" s="340"/>
      <c r="L4408" s="340"/>
      <c r="P4408" s="340"/>
      <c r="U4408" s="340"/>
      <c r="V4408" s="340"/>
      <c r="Z4408" s="340"/>
      <c r="AE4408" s="340"/>
      <c r="AI4408" s="340"/>
      <c r="AN4408" s="340"/>
      <c r="AO4408" s="340"/>
      <c r="AS4408" s="340"/>
      <c r="AX4408" s="340"/>
      <c r="BB4408" s="340"/>
      <c r="BD4408" s="339"/>
    </row>
    <row r="4409" spans="7:56" s="338" customFormat="1">
      <c r="G4409" s="340"/>
      <c r="L4409" s="340"/>
      <c r="P4409" s="340"/>
      <c r="U4409" s="340"/>
      <c r="V4409" s="340"/>
      <c r="Z4409" s="340"/>
      <c r="AE4409" s="340"/>
      <c r="AI4409" s="340"/>
      <c r="AN4409" s="340"/>
      <c r="AO4409" s="340"/>
      <c r="AS4409" s="340"/>
      <c r="AX4409" s="340"/>
      <c r="BB4409" s="340"/>
      <c r="BD4409" s="339"/>
    </row>
    <row r="4410" spans="7:56" s="338" customFormat="1">
      <c r="G4410" s="340"/>
      <c r="L4410" s="340"/>
      <c r="P4410" s="340"/>
      <c r="U4410" s="340"/>
      <c r="V4410" s="340"/>
      <c r="Z4410" s="340"/>
      <c r="AE4410" s="340"/>
      <c r="AI4410" s="340"/>
      <c r="AN4410" s="340"/>
      <c r="AO4410" s="340"/>
      <c r="AS4410" s="340"/>
      <c r="AX4410" s="340"/>
      <c r="BB4410" s="340"/>
      <c r="BD4410" s="339"/>
    </row>
    <row r="4411" spans="7:56" s="338" customFormat="1">
      <c r="G4411" s="340"/>
      <c r="L4411" s="340"/>
      <c r="P4411" s="340"/>
      <c r="U4411" s="340"/>
      <c r="V4411" s="340"/>
      <c r="Z4411" s="340"/>
      <c r="AE4411" s="340"/>
      <c r="AI4411" s="340"/>
      <c r="AN4411" s="340"/>
      <c r="AO4411" s="340"/>
      <c r="AS4411" s="340"/>
      <c r="AX4411" s="340"/>
      <c r="BB4411" s="340"/>
      <c r="BD4411" s="339"/>
    </row>
    <row r="4412" spans="7:56" s="338" customFormat="1">
      <c r="G4412" s="340"/>
      <c r="L4412" s="340"/>
      <c r="P4412" s="340"/>
      <c r="U4412" s="340"/>
      <c r="V4412" s="340"/>
      <c r="Z4412" s="340"/>
      <c r="AE4412" s="340"/>
      <c r="AI4412" s="340"/>
      <c r="AN4412" s="340"/>
      <c r="AO4412" s="340"/>
      <c r="AS4412" s="340"/>
      <c r="AX4412" s="340"/>
      <c r="BB4412" s="340"/>
      <c r="BD4412" s="339"/>
    </row>
    <row r="4413" spans="7:56" s="338" customFormat="1">
      <c r="G4413" s="340"/>
      <c r="L4413" s="340"/>
      <c r="P4413" s="340"/>
      <c r="U4413" s="340"/>
      <c r="V4413" s="340"/>
      <c r="Z4413" s="340"/>
      <c r="AE4413" s="340"/>
      <c r="AI4413" s="340"/>
      <c r="AN4413" s="340"/>
      <c r="AO4413" s="340"/>
      <c r="AS4413" s="340"/>
      <c r="AX4413" s="340"/>
      <c r="BB4413" s="340"/>
      <c r="BD4413" s="339"/>
    </row>
    <row r="4414" spans="7:56" s="338" customFormat="1">
      <c r="G4414" s="340"/>
      <c r="L4414" s="340"/>
      <c r="P4414" s="340"/>
      <c r="U4414" s="340"/>
      <c r="V4414" s="340"/>
      <c r="Z4414" s="340"/>
      <c r="AE4414" s="340"/>
      <c r="AI4414" s="340"/>
      <c r="AN4414" s="340"/>
      <c r="AO4414" s="340"/>
      <c r="AS4414" s="340"/>
      <c r="AX4414" s="340"/>
      <c r="BB4414" s="340"/>
      <c r="BD4414" s="339"/>
    </row>
    <row r="4415" spans="7:56" s="338" customFormat="1">
      <c r="G4415" s="340"/>
      <c r="L4415" s="340"/>
      <c r="P4415" s="340"/>
      <c r="U4415" s="340"/>
      <c r="V4415" s="340"/>
      <c r="Z4415" s="340"/>
      <c r="AE4415" s="340"/>
      <c r="AI4415" s="340"/>
      <c r="AN4415" s="340"/>
      <c r="AO4415" s="340"/>
      <c r="AS4415" s="340"/>
      <c r="AX4415" s="340"/>
      <c r="BB4415" s="340"/>
      <c r="BD4415" s="339"/>
    </row>
    <row r="4416" spans="7:56" s="338" customFormat="1">
      <c r="G4416" s="340"/>
      <c r="L4416" s="340"/>
      <c r="P4416" s="340"/>
      <c r="U4416" s="340"/>
      <c r="V4416" s="340"/>
      <c r="Z4416" s="340"/>
      <c r="AE4416" s="340"/>
      <c r="AI4416" s="340"/>
      <c r="AN4416" s="340"/>
      <c r="AO4416" s="340"/>
      <c r="AS4416" s="340"/>
      <c r="AX4416" s="340"/>
      <c r="BB4416" s="340"/>
      <c r="BD4416" s="339"/>
    </row>
    <row r="4417" spans="7:56" s="338" customFormat="1">
      <c r="G4417" s="340"/>
      <c r="L4417" s="340"/>
      <c r="P4417" s="340"/>
      <c r="U4417" s="340"/>
      <c r="V4417" s="340"/>
      <c r="Z4417" s="340"/>
      <c r="AE4417" s="340"/>
      <c r="AI4417" s="340"/>
      <c r="AN4417" s="340"/>
      <c r="AO4417" s="340"/>
      <c r="AS4417" s="340"/>
      <c r="AX4417" s="340"/>
      <c r="BB4417" s="340"/>
      <c r="BD4417" s="339"/>
    </row>
    <row r="4418" spans="7:56" s="338" customFormat="1">
      <c r="G4418" s="340"/>
      <c r="L4418" s="340"/>
      <c r="P4418" s="340"/>
      <c r="U4418" s="340"/>
      <c r="V4418" s="340"/>
      <c r="Z4418" s="340"/>
      <c r="AE4418" s="340"/>
      <c r="AI4418" s="340"/>
      <c r="AN4418" s="340"/>
      <c r="AO4418" s="340"/>
      <c r="AS4418" s="340"/>
      <c r="AX4418" s="340"/>
      <c r="BB4418" s="340"/>
      <c r="BD4418" s="339"/>
    </row>
    <row r="4419" spans="7:56" s="338" customFormat="1">
      <c r="G4419" s="340"/>
      <c r="L4419" s="340"/>
      <c r="P4419" s="340"/>
      <c r="U4419" s="340"/>
      <c r="V4419" s="340"/>
      <c r="Z4419" s="340"/>
      <c r="AE4419" s="340"/>
      <c r="AI4419" s="340"/>
      <c r="AN4419" s="340"/>
      <c r="AO4419" s="340"/>
      <c r="AS4419" s="340"/>
      <c r="AX4419" s="340"/>
      <c r="BB4419" s="340"/>
      <c r="BD4419" s="339"/>
    </row>
    <row r="4420" spans="7:56" s="338" customFormat="1">
      <c r="G4420" s="340"/>
      <c r="L4420" s="340"/>
      <c r="P4420" s="340"/>
      <c r="U4420" s="340"/>
      <c r="V4420" s="340"/>
      <c r="Z4420" s="340"/>
      <c r="AE4420" s="340"/>
      <c r="AI4420" s="340"/>
      <c r="AN4420" s="340"/>
      <c r="AO4420" s="340"/>
      <c r="AS4420" s="340"/>
      <c r="AX4420" s="340"/>
      <c r="BB4420" s="340"/>
      <c r="BD4420" s="339"/>
    </row>
    <row r="4421" spans="7:56" s="338" customFormat="1">
      <c r="G4421" s="340"/>
      <c r="L4421" s="340"/>
      <c r="P4421" s="340"/>
      <c r="U4421" s="340"/>
      <c r="V4421" s="340"/>
      <c r="Z4421" s="340"/>
      <c r="AE4421" s="340"/>
      <c r="AI4421" s="340"/>
      <c r="AN4421" s="340"/>
      <c r="AO4421" s="340"/>
      <c r="AS4421" s="340"/>
      <c r="AX4421" s="340"/>
      <c r="BB4421" s="340"/>
      <c r="BD4421" s="339"/>
    </row>
    <row r="4422" spans="7:56" s="338" customFormat="1">
      <c r="G4422" s="340"/>
      <c r="L4422" s="340"/>
      <c r="P4422" s="340"/>
      <c r="U4422" s="340"/>
      <c r="V4422" s="340"/>
      <c r="Z4422" s="340"/>
      <c r="AE4422" s="340"/>
      <c r="AI4422" s="340"/>
      <c r="AN4422" s="340"/>
      <c r="AO4422" s="340"/>
      <c r="AS4422" s="340"/>
      <c r="AX4422" s="340"/>
      <c r="BB4422" s="340"/>
      <c r="BD4422" s="339"/>
    </row>
    <row r="4423" spans="7:56" s="338" customFormat="1">
      <c r="G4423" s="340"/>
      <c r="L4423" s="340"/>
      <c r="P4423" s="340"/>
      <c r="U4423" s="340"/>
      <c r="V4423" s="340"/>
      <c r="Z4423" s="340"/>
      <c r="AE4423" s="340"/>
      <c r="AI4423" s="340"/>
      <c r="AN4423" s="340"/>
      <c r="AO4423" s="340"/>
      <c r="AS4423" s="340"/>
      <c r="AX4423" s="340"/>
      <c r="BB4423" s="340"/>
      <c r="BD4423" s="339"/>
    </row>
    <row r="4424" spans="7:56" s="338" customFormat="1">
      <c r="G4424" s="340"/>
      <c r="L4424" s="340"/>
      <c r="P4424" s="340"/>
      <c r="U4424" s="340"/>
      <c r="V4424" s="340"/>
      <c r="Z4424" s="340"/>
      <c r="AE4424" s="340"/>
      <c r="AI4424" s="340"/>
      <c r="AN4424" s="340"/>
      <c r="AO4424" s="340"/>
      <c r="AS4424" s="340"/>
      <c r="AX4424" s="340"/>
      <c r="BB4424" s="340"/>
      <c r="BD4424" s="339"/>
    </row>
    <row r="4425" spans="7:56" s="338" customFormat="1">
      <c r="G4425" s="340"/>
      <c r="L4425" s="340"/>
      <c r="P4425" s="340"/>
      <c r="U4425" s="340"/>
      <c r="V4425" s="340"/>
      <c r="Z4425" s="340"/>
      <c r="AE4425" s="340"/>
      <c r="AI4425" s="340"/>
      <c r="AN4425" s="340"/>
      <c r="AO4425" s="340"/>
      <c r="AS4425" s="340"/>
      <c r="AX4425" s="340"/>
      <c r="BB4425" s="340"/>
      <c r="BD4425" s="339"/>
    </row>
    <row r="4426" spans="7:56" s="338" customFormat="1">
      <c r="G4426" s="340"/>
      <c r="L4426" s="340"/>
      <c r="P4426" s="340"/>
      <c r="U4426" s="340"/>
      <c r="V4426" s="340"/>
      <c r="Z4426" s="340"/>
      <c r="AE4426" s="340"/>
      <c r="AI4426" s="340"/>
      <c r="AN4426" s="340"/>
      <c r="AO4426" s="340"/>
      <c r="AS4426" s="340"/>
      <c r="AX4426" s="340"/>
      <c r="BB4426" s="340"/>
      <c r="BD4426" s="339"/>
    </row>
    <row r="4427" spans="7:56" s="338" customFormat="1">
      <c r="G4427" s="340"/>
      <c r="L4427" s="340"/>
      <c r="P4427" s="340"/>
      <c r="U4427" s="340"/>
      <c r="V4427" s="340"/>
      <c r="Z4427" s="340"/>
      <c r="AE4427" s="340"/>
      <c r="AI4427" s="340"/>
      <c r="AN4427" s="340"/>
      <c r="AO4427" s="340"/>
      <c r="AS4427" s="340"/>
      <c r="AX4427" s="340"/>
      <c r="BB4427" s="340"/>
      <c r="BD4427" s="339"/>
    </row>
    <row r="4428" spans="7:56" s="338" customFormat="1">
      <c r="G4428" s="340"/>
      <c r="L4428" s="340"/>
      <c r="P4428" s="340"/>
      <c r="U4428" s="340"/>
      <c r="V4428" s="340"/>
      <c r="Z4428" s="340"/>
      <c r="AE4428" s="340"/>
      <c r="AI4428" s="340"/>
      <c r="AN4428" s="340"/>
      <c r="AO4428" s="340"/>
      <c r="AS4428" s="340"/>
      <c r="AX4428" s="340"/>
      <c r="BB4428" s="340"/>
      <c r="BD4428" s="339"/>
    </row>
    <row r="4429" spans="7:56" s="338" customFormat="1">
      <c r="G4429" s="340"/>
      <c r="L4429" s="340"/>
      <c r="P4429" s="340"/>
      <c r="U4429" s="340"/>
      <c r="V4429" s="340"/>
      <c r="Z4429" s="340"/>
      <c r="AE4429" s="340"/>
      <c r="AI4429" s="340"/>
      <c r="AN4429" s="340"/>
      <c r="AO4429" s="340"/>
      <c r="AS4429" s="340"/>
      <c r="AX4429" s="340"/>
      <c r="BB4429" s="340"/>
      <c r="BD4429" s="339"/>
    </row>
    <row r="4430" spans="7:56" s="338" customFormat="1">
      <c r="G4430" s="340"/>
      <c r="L4430" s="340"/>
      <c r="P4430" s="340"/>
      <c r="U4430" s="340"/>
      <c r="V4430" s="340"/>
      <c r="Z4430" s="340"/>
      <c r="AE4430" s="340"/>
      <c r="AI4430" s="340"/>
      <c r="AN4430" s="340"/>
      <c r="AO4430" s="340"/>
      <c r="AS4430" s="340"/>
      <c r="AX4430" s="340"/>
      <c r="BB4430" s="340"/>
      <c r="BD4430" s="339"/>
    </row>
    <row r="4431" spans="7:56" s="338" customFormat="1">
      <c r="G4431" s="340"/>
      <c r="L4431" s="340"/>
      <c r="P4431" s="340"/>
      <c r="U4431" s="340"/>
      <c r="V4431" s="340"/>
      <c r="Z4431" s="340"/>
      <c r="AE4431" s="340"/>
      <c r="AI4431" s="340"/>
      <c r="AN4431" s="340"/>
      <c r="AO4431" s="340"/>
      <c r="AS4431" s="340"/>
      <c r="AX4431" s="340"/>
      <c r="BB4431" s="340"/>
      <c r="BD4431" s="339"/>
    </row>
    <row r="4432" spans="7:56" s="338" customFormat="1">
      <c r="G4432" s="340"/>
      <c r="L4432" s="340"/>
      <c r="P4432" s="340"/>
      <c r="U4432" s="340"/>
      <c r="V4432" s="340"/>
      <c r="Z4432" s="340"/>
      <c r="AE4432" s="340"/>
      <c r="AI4432" s="340"/>
      <c r="AN4432" s="340"/>
      <c r="AO4432" s="340"/>
      <c r="AS4432" s="340"/>
      <c r="AX4432" s="340"/>
      <c r="BB4432" s="340"/>
      <c r="BD4432" s="339"/>
    </row>
    <row r="4433" spans="7:56" s="338" customFormat="1">
      <c r="G4433" s="340"/>
      <c r="L4433" s="340"/>
      <c r="P4433" s="340"/>
      <c r="U4433" s="340"/>
      <c r="V4433" s="340"/>
      <c r="Z4433" s="340"/>
      <c r="AE4433" s="340"/>
      <c r="AI4433" s="340"/>
      <c r="AN4433" s="340"/>
      <c r="AO4433" s="340"/>
      <c r="AS4433" s="340"/>
      <c r="AX4433" s="340"/>
      <c r="BB4433" s="340"/>
      <c r="BD4433" s="339"/>
    </row>
    <row r="4434" spans="7:56" s="338" customFormat="1">
      <c r="G4434" s="340"/>
      <c r="L4434" s="340"/>
      <c r="P4434" s="340"/>
      <c r="U4434" s="340"/>
      <c r="V4434" s="340"/>
      <c r="Z4434" s="340"/>
      <c r="AE4434" s="340"/>
      <c r="AI4434" s="340"/>
      <c r="AN4434" s="340"/>
      <c r="AO4434" s="340"/>
      <c r="AS4434" s="340"/>
      <c r="AX4434" s="340"/>
      <c r="BB4434" s="340"/>
      <c r="BD4434" s="339"/>
    </row>
    <row r="4435" spans="7:56" s="338" customFormat="1">
      <c r="G4435" s="340"/>
      <c r="L4435" s="340"/>
      <c r="P4435" s="340"/>
      <c r="U4435" s="340"/>
      <c r="V4435" s="340"/>
      <c r="Z4435" s="340"/>
      <c r="AE4435" s="340"/>
      <c r="AI4435" s="340"/>
      <c r="AN4435" s="340"/>
      <c r="AO4435" s="340"/>
      <c r="AS4435" s="340"/>
      <c r="AX4435" s="340"/>
      <c r="BB4435" s="340"/>
      <c r="BD4435" s="339"/>
    </row>
    <row r="4436" spans="7:56" s="338" customFormat="1">
      <c r="G4436" s="340"/>
      <c r="L4436" s="340"/>
      <c r="P4436" s="340"/>
      <c r="U4436" s="340"/>
      <c r="V4436" s="340"/>
      <c r="Z4436" s="340"/>
      <c r="AE4436" s="340"/>
      <c r="AI4436" s="340"/>
      <c r="AN4436" s="340"/>
      <c r="AO4436" s="340"/>
      <c r="AS4436" s="340"/>
      <c r="AX4436" s="340"/>
      <c r="BB4436" s="340"/>
      <c r="BD4436" s="339"/>
    </row>
    <row r="4437" spans="7:56" s="338" customFormat="1">
      <c r="G4437" s="340"/>
      <c r="L4437" s="340"/>
      <c r="P4437" s="340"/>
      <c r="U4437" s="340"/>
      <c r="V4437" s="340"/>
      <c r="Z4437" s="340"/>
      <c r="AE4437" s="340"/>
      <c r="AI4437" s="340"/>
      <c r="AN4437" s="340"/>
      <c r="AO4437" s="340"/>
      <c r="AS4437" s="340"/>
      <c r="AX4437" s="340"/>
      <c r="BB4437" s="340"/>
      <c r="BD4437" s="339"/>
    </row>
    <row r="4438" spans="7:56" s="338" customFormat="1">
      <c r="G4438" s="340"/>
      <c r="L4438" s="340"/>
      <c r="P4438" s="340"/>
      <c r="U4438" s="340"/>
      <c r="V4438" s="340"/>
      <c r="Z4438" s="340"/>
      <c r="AE4438" s="340"/>
      <c r="AI4438" s="340"/>
      <c r="AN4438" s="340"/>
      <c r="AO4438" s="340"/>
      <c r="AS4438" s="340"/>
      <c r="AX4438" s="340"/>
      <c r="BB4438" s="340"/>
      <c r="BD4438" s="339"/>
    </row>
    <row r="4439" spans="7:56" s="338" customFormat="1">
      <c r="G4439" s="340"/>
      <c r="L4439" s="340"/>
      <c r="P4439" s="340"/>
      <c r="U4439" s="340"/>
      <c r="V4439" s="340"/>
      <c r="Z4439" s="340"/>
      <c r="AE4439" s="340"/>
      <c r="AI4439" s="340"/>
      <c r="AN4439" s="340"/>
      <c r="AO4439" s="340"/>
      <c r="AS4439" s="340"/>
      <c r="AX4439" s="340"/>
      <c r="BB4439" s="340"/>
      <c r="BD4439" s="339"/>
    </row>
    <row r="4440" spans="7:56" s="338" customFormat="1">
      <c r="G4440" s="340"/>
      <c r="L4440" s="340"/>
      <c r="P4440" s="340"/>
      <c r="U4440" s="340"/>
      <c r="V4440" s="340"/>
      <c r="Z4440" s="340"/>
      <c r="AE4440" s="340"/>
      <c r="AI4440" s="340"/>
      <c r="AN4440" s="340"/>
      <c r="AO4440" s="340"/>
      <c r="AS4440" s="340"/>
      <c r="AX4440" s="340"/>
      <c r="BB4440" s="340"/>
      <c r="BD4440" s="339"/>
    </row>
    <row r="4441" spans="7:56" s="338" customFormat="1">
      <c r="G4441" s="340"/>
      <c r="L4441" s="340"/>
      <c r="P4441" s="340"/>
      <c r="U4441" s="340"/>
      <c r="V4441" s="340"/>
      <c r="Z4441" s="340"/>
      <c r="AE4441" s="340"/>
      <c r="AI4441" s="340"/>
      <c r="AN4441" s="340"/>
      <c r="AO4441" s="340"/>
      <c r="AS4441" s="340"/>
      <c r="AX4441" s="340"/>
      <c r="BB4441" s="340"/>
      <c r="BD4441" s="339"/>
    </row>
    <row r="4442" spans="7:56" s="338" customFormat="1">
      <c r="G4442" s="340"/>
      <c r="L4442" s="340"/>
      <c r="P4442" s="340"/>
      <c r="U4442" s="340"/>
      <c r="V4442" s="340"/>
      <c r="Z4442" s="340"/>
      <c r="AE4442" s="340"/>
      <c r="AI4442" s="340"/>
      <c r="AN4442" s="340"/>
      <c r="AO4442" s="340"/>
      <c r="AS4442" s="340"/>
      <c r="AX4442" s="340"/>
      <c r="BB4442" s="340"/>
      <c r="BD4442" s="339"/>
    </row>
    <row r="4443" spans="7:56" s="338" customFormat="1">
      <c r="G4443" s="340"/>
      <c r="L4443" s="340"/>
      <c r="P4443" s="340"/>
      <c r="U4443" s="340"/>
      <c r="V4443" s="340"/>
      <c r="Z4443" s="340"/>
      <c r="AE4443" s="340"/>
      <c r="AI4443" s="340"/>
      <c r="AN4443" s="340"/>
      <c r="AO4443" s="340"/>
      <c r="AS4443" s="340"/>
      <c r="AX4443" s="340"/>
      <c r="BB4443" s="340"/>
      <c r="BD4443" s="339"/>
    </row>
    <row r="4444" spans="7:56" s="338" customFormat="1">
      <c r="G4444" s="340"/>
      <c r="L4444" s="340"/>
      <c r="P4444" s="340"/>
      <c r="U4444" s="340"/>
      <c r="V4444" s="340"/>
      <c r="Z4444" s="340"/>
      <c r="AE4444" s="340"/>
      <c r="AI4444" s="340"/>
      <c r="AN4444" s="340"/>
      <c r="AO4444" s="340"/>
      <c r="AS4444" s="340"/>
      <c r="AX4444" s="340"/>
      <c r="BB4444" s="340"/>
      <c r="BD4444" s="339"/>
    </row>
    <row r="4445" spans="7:56" s="338" customFormat="1">
      <c r="G4445" s="340"/>
      <c r="L4445" s="340"/>
      <c r="P4445" s="340"/>
      <c r="U4445" s="340"/>
      <c r="V4445" s="340"/>
      <c r="Z4445" s="340"/>
      <c r="AE4445" s="340"/>
      <c r="AI4445" s="340"/>
      <c r="AN4445" s="340"/>
      <c r="AO4445" s="340"/>
      <c r="AS4445" s="340"/>
      <c r="AX4445" s="340"/>
      <c r="BB4445" s="340"/>
      <c r="BD4445" s="339"/>
    </row>
    <row r="4446" spans="7:56" s="338" customFormat="1">
      <c r="G4446" s="340"/>
      <c r="L4446" s="340"/>
      <c r="P4446" s="340"/>
      <c r="U4446" s="340"/>
      <c r="V4446" s="340"/>
      <c r="Z4446" s="340"/>
      <c r="AE4446" s="340"/>
      <c r="AI4446" s="340"/>
      <c r="AN4446" s="340"/>
      <c r="AO4446" s="340"/>
      <c r="AS4446" s="340"/>
      <c r="AX4446" s="340"/>
      <c r="BB4446" s="340"/>
      <c r="BD4446" s="339"/>
    </row>
    <row r="4447" spans="7:56" s="338" customFormat="1">
      <c r="G4447" s="340"/>
      <c r="L4447" s="340"/>
      <c r="P4447" s="340"/>
      <c r="U4447" s="340"/>
      <c r="V4447" s="340"/>
      <c r="Z4447" s="340"/>
      <c r="AE4447" s="340"/>
      <c r="AI4447" s="340"/>
      <c r="AN4447" s="340"/>
      <c r="AO4447" s="340"/>
      <c r="AS4447" s="340"/>
      <c r="AX4447" s="340"/>
      <c r="BB4447" s="340"/>
      <c r="BD4447" s="339"/>
    </row>
    <row r="4448" spans="7:56" s="338" customFormat="1">
      <c r="G4448" s="340"/>
      <c r="L4448" s="340"/>
      <c r="P4448" s="340"/>
      <c r="U4448" s="340"/>
      <c r="V4448" s="340"/>
      <c r="Z4448" s="340"/>
      <c r="AE4448" s="340"/>
      <c r="AI4448" s="340"/>
      <c r="AN4448" s="340"/>
      <c r="AO4448" s="340"/>
      <c r="AS4448" s="340"/>
      <c r="AX4448" s="340"/>
      <c r="BB4448" s="340"/>
      <c r="BD4448" s="339"/>
    </row>
    <row r="4449" spans="7:56" s="338" customFormat="1">
      <c r="G4449" s="340"/>
      <c r="L4449" s="340"/>
      <c r="P4449" s="340"/>
      <c r="U4449" s="340"/>
      <c r="V4449" s="340"/>
      <c r="Z4449" s="340"/>
      <c r="AE4449" s="340"/>
      <c r="AI4449" s="340"/>
      <c r="AN4449" s="340"/>
      <c r="AO4449" s="340"/>
      <c r="AS4449" s="340"/>
      <c r="AX4449" s="340"/>
      <c r="BB4449" s="340"/>
      <c r="BD4449" s="339"/>
    </row>
    <row r="4450" spans="7:56" s="338" customFormat="1">
      <c r="G4450" s="340"/>
      <c r="L4450" s="340"/>
      <c r="P4450" s="340"/>
      <c r="U4450" s="340"/>
      <c r="V4450" s="340"/>
      <c r="Z4450" s="340"/>
      <c r="AE4450" s="340"/>
      <c r="AI4450" s="340"/>
      <c r="AN4450" s="340"/>
      <c r="AO4450" s="340"/>
      <c r="AS4450" s="340"/>
      <c r="AX4450" s="340"/>
      <c r="BB4450" s="340"/>
      <c r="BD4450" s="339"/>
    </row>
    <row r="4451" spans="7:56" s="338" customFormat="1">
      <c r="G4451" s="340"/>
      <c r="L4451" s="340"/>
      <c r="P4451" s="340"/>
      <c r="U4451" s="340"/>
      <c r="V4451" s="340"/>
      <c r="Z4451" s="340"/>
      <c r="AE4451" s="340"/>
      <c r="AI4451" s="340"/>
      <c r="AN4451" s="340"/>
      <c r="AO4451" s="340"/>
      <c r="AS4451" s="340"/>
      <c r="AX4451" s="340"/>
      <c r="BB4451" s="340"/>
      <c r="BD4451" s="339"/>
    </row>
    <row r="4452" spans="7:56" s="338" customFormat="1">
      <c r="G4452" s="340"/>
      <c r="L4452" s="340"/>
      <c r="P4452" s="340"/>
      <c r="U4452" s="340"/>
      <c r="V4452" s="340"/>
      <c r="Z4452" s="340"/>
      <c r="AE4452" s="340"/>
      <c r="AI4452" s="340"/>
      <c r="AN4452" s="340"/>
      <c r="AO4452" s="340"/>
      <c r="AS4452" s="340"/>
      <c r="AX4452" s="340"/>
      <c r="BB4452" s="340"/>
      <c r="BD4452" s="339"/>
    </row>
    <row r="4453" spans="7:56" s="338" customFormat="1">
      <c r="G4453" s="340"/>
      <c r="L4453" s="340"/>
      <c r="P4453" s="340"/>
      <c r="U4453" s="340"/>
      <c r="V4453" s="340"/>
      <c r="Z4453" s="340"/>
      <c r="AE4453" s="340"/>
      <c r="AI4453" s="340"/>
      <c r="AN4453" s="340"/>
      <c r="AO4453" s="340"/>
      <c r="AS4453" s="340"/>
      <c r="AX4453" s="340"/>
      <c r="BB4453" s="340"/>
      <c r="BD4453" s="339"/>
    </row>
    <row r="4454" spans="7:56" s="338" customFormat="1">
      <c r="G4454" s="340"/>
      <c r="L4454" s="340"/>
      <c r="P4454" s="340"/>
      <c r="U4454" s="340"/>
      <c r="V4454" s="340"/>
      <c r="Z4454" s="340"/>
      <c r="AE4454" s="340"/>
      <c r="AI4454" s="340"/>
      <c r="AN4454" s="340"/>
      <c r="AO4454" s="340"/>
      <c r="AS4454" s="340"/>
      <c r="AX4454" s="340"/>
      <c r="BB4454" s="340"/>
      <c r="BD4454" s="339"/>
    </row>
    <row r="4455" spans="7:56" s="338" customFormat="1">
      <c r="G4455" s="340"/>
      <c r="L4455" s="340"/>
      <c r="P4455" s="340"/>
      <c r="U4455" s="340"/>
      <c r="V4455" s="340"/>
      <c r="Z4455" s="340"/>
      <c r="AE4455" s="340"/>
      <c r="AI4455" s="340"/>
      <c r="AN4455" s="340"/>
      <c r="AO4455" s="340"/>
      <c r="AS4455" s="340"/>
      <c r="AX4455" s="340"/>
      <c r="BB4455" s="340"/>
      <c r="BD4455" s="339"/>
    </row>
    <row r="4456" spans="7:56" s="338" customFormat="1">
      <c r="G4456" s="340"/>
      <c r="L4456" s="340"/>
      <c r="P4456" s="340"/>
      <c r="U4456" s="340"/>
      <c r="V4456" s="340"/>
      <c r="Z4456" s="340"/>
      <c r="AE4456" s="340"/>
      <c r="AI4456" s="340"/>
      <c r="AN4456" s="340"/>
      <c r="AO4456" s="340"/>
      <c r="AS4456" s="340"/>
      <c r="AX4456" s="340"/>
      <c r="BB4456" s="340"/>
      <c r="BD4456" s="339"/>
    </row>
    <row r="4457" spans="7:56" s="338" customFormat="1">
      <c r="G4457" s="340"/>
      <c r="L4457" s="340"/>
      <c r="P4457" s="340"/>
      <c r="U4457" s="340"/>
      <c r="V4457" s="340"/>
      <c r="Z4457" s="340"/>
      <c r="AE4457" s="340"/>
      <c r="AI4457" s="340"/>
      <c r="AN4457" s="340"/>
      <c r="AO4457" s="340"/>
      <c r="AS4457" s="340"/>
      <c r="AX4457" s="340"/>
      <c r="BB4457" s="340"/>
      <c r="BD4457" s="339"/>
    </row>
    <row r="4458" spans="7:56" s="338" customFormat="1">
      <c r="G4458" s="340"/>
      <c r="L4458" s="340"/>
      <c r="P4458" s="340"/>
      <c r="U4458" s="340"/>
      <c r="V4458" s="340"/>
      <c r="Z4458" s="340"/>
      <c r="AE4458" s="340"/>
      <c r="AI4458" s="340"/>
      <c r="AN4458" s="340"/>
      <c r="AO4458" s="340"/>
      <c r="AS4458" s="340"/>
      <c r="AX4458" s="340"/>
      <c r="BB4458" s="340"/>
      <c r="BD4458" s="339"/>
    </row>
    <row r="4459" spans="7:56" s="338" customFormat="1">
      <c r="G4459" s="340"/>
      <c r="L4459" s="340"/>
      <c r="P4459" s="340"/>
      <c r="U4459" s="340"/>
      <c r="V4459" s="340"/>
      <c r="Z4459" s="340"/>
      <c r="AE4459" s="340"/>
      <c r="AI4459" s="340"/>
      <c r="AN4459" s="340"/>
      <c r="AO4459" s="340"/>
      <c r="AS4459" s="340"/>
      <c r="AX4459" s="340"/>
      <c r="BB4459" s="340"/>
      <c r="BD4459" s="339"/>
    </row>
    <row r="4460" spans="7:56" s="338" customFormat="1">
      <c r="G4460" s="340"/>
      <c r="L4460" s="340"/>
      <c r="P4460" s="340"/>
      <c r="U4460" s="340"/>
      <c r="V4460" s="340"/>
      <c r="Z4460" s="340"/>
      <c r="AE4460" s="340"/>
      <c r="AI4460" s="340"/>
      <c r="AN4460" s="340"/>
      <c r="AO4460" s="340"/>
      <c r="AS4460" s="340"/>
      <c r="AX4460" s="340"/>
      <c r="BB4460" s="340"/>
      <c r="BD4460" s="339"/>
    </row>
    <row r="4461" spans="7:56" s="338" customFormat="1">
      <c r="G4461" s="340"/>
      <c r="L4461" s="340"/>
      <c r="P4461" s="340"/>
      <c r="U4461" s="340"/>
      <c r="V4461" s="340"/>
      <c r="Z4461" s="340"/>
      <c r="AE4461" s="340"/>
      <c r="AI4461" s="340"/>
      <c r="AN4461" s="340"/>
      <c r="AO4461" s="340"/>
      <c r="AS4461" s="340"/>
      <c r="AX4461" s="340"/>
      <c r="BB4461" s="340"/>
      <c r="BD4461" s="339"/>
    </row>
    <row r="4462" spans="7:56" s="338" customFormat="1">
      <c r="G4462" s="340"/>
      <c r="L4462" s="340"/>
      <c r="P4462" s="340"/>
      <c r="U4462" s="340"/>
      <c r="V4462" s="340"/>
      <c r="Z4462" s="340"/>
      <c r="AE4462" s="340"/>
      <c r="AI4462" s="340"/>
      <c r="AN4462" s="340"/>
      <c r="AO4462" s="340"/>
      <c r="AS4462" s="340"/>
      <c r="AX4462" s="340"/>
      <c r="BB4462" s="340"/>
      <c r="BD4462" s="339"/>
    </row>
    <row r="4463" spans="7:56" s="338" customFormat="1">
      <c r="G4463" s="340"/>
      <c r="L4463" s="340"/>
      <c r="P4463" s="340"/>
      <c r="U4463" s="340"/>
      <c r="V4463" s="340"/>
      <c r="Z4463" s="340"/>
      <c r="AE4463" s="340"/>
      <c r="AI4463" s="340"/>
      <c r="AN4463" s="340"/>
      <c r="AO4463" s="340"/>
      <c r="AS4463" s="340"/>
      <c r="AX4463" s="340"/>
      <c r="BB4463" s="340"/>
      <c r="BD4463" s="339"/>
    </row>
    <row r="4464" spans="7:56" s="338" customFormat="1">
      <c r="G4464" s="340"/>
      <c r="L4464" s="340"/>
      <c r="P4464" s="340"/>
      <c r="U4464" s="340"/>
      <c r="V4464" s="340"/>
      <c r="Z4464" s="340"/>
      <c r="AE4464" s="340"/>
      <c r="AI4464" s="340"/>
      <c r="AN4464" s="340"/>
      <c r="AO4464" s="340"/>
      <c r="AS4464" s="340"/>
      <c r="AX4464" s="340"/>
      <c r="BB4464" s="340"/>
      <c r="BD4464" s="339"/>
    </row>
    <row r="4465" spans="7:56" s="338" customFormat="1">
      <c r="G4465" s="340"/>
      <c r="L4465" s="340"/>
      <c r="P4465" s="340"/>
      <c r="U4465" s="340"/>
      <c r="V4465" s="340"/>
      <c r="Z4465" s="340"/>
      <c r="AE4465" s="340"/>
      <c r="AI4465" s="340"/>
      <c r="AN4465" s="340"/>
      <c r="AO4465" s="340"/>
      <c r="AS4465" s="340"/>
      <c r="AX4465" s="340"/>
      <c r="BB4465" s="340"/>
      <c r="BD4465" s="339"/>
    </row>
    <row r="4466" spans="7:56" s="338" customFormat="1">
      <c r="G4466" s="340"/>
      <c r="L4466" s="340"/>
      <c r="P4466" s="340"/>
      <c r="U4466" s="340"/>
      <c r="V4466" s="340"/>
      <c r="Z4466" s="340"/>
      <c r="AE4466" s="340"/>
      <c r="AI4466" s="340"/>
      <c r="AN4466" s="340"/>
      <c r="AO4466" s="340"/>
      <c r="AS4466" s="340"/>
      <c r="AX4466" s="340"/>
      <c r="BB4466" s="340"/>
      <c r="BD4466" s="339"/>
    </row>
    <row r="4467" spans="7:56" s="338" customFormat="1">
      <c r="G4467" s="340"/>
      <c r="L4467" s="340"/>
      <c r="P4467" s="340"/>
      <c r="U4467" s="340"/>
      <c r="V4467" s="340"/>
      <c r="Z4467" s="340"/>
      <c r="AE4467" s="340"/>
      <c r="AI4467" s="340"/>
      <c r="AN4467" s="340"/>
      <c r="AO4467" s="340"/>
      <c r="AS4467" s="340"/>
      <c r="AX4467" s="340"/>
      <c r="BB4467" s="340"/>
      <c r="BD4467" s="339"/>
    </row>
    <row r="4468" spans="7:56" s="338" customFormat="1">
      <c r="G4468" s="340"/>
      <c r="L4468" s="340"/>
      <c r="P4468" s="340"/>
      <c r="U4468" s="340"/>
      <c r="V4468" s="340"/>
      <c r="Z4468" s="340"/>
      <c r="AE4468" s="340"/>
      <c r="AI4468" s="340"/>
      <c r="AN4468" s="340"/>
      <c r="AO4468" s="340"/>
      <c r="AS4468" s="340"/>
      <c r="AX4468" s="340"/>
      <c r="BB4468" s="340"/>
      <c r="BD4468" s="339"/>
    </row>
    <row r="4469" spans="7:56" s="338" customFormat="1">
      <c r="G4469" s="340"/>
      <c r="L4469" s="340"/>
      <c r="P4469" s="340"/>
      <c r="U4469" s="340"/>
      <c r="V4469" s="340"/>
      <c r="Z4469" s="340"/>
      <c r="AE4469" s="340"/>
      <c r="AI4469" s="340"/>
      <c r="AN4469" s="340"/>
      <c r="AO4469" s="340"/>
      <c r="AS4469" s="340"/>
      <c r="AX4469" s="340"/>
      <c r="BB4469" s="340"/>
      <c r="BD4469" s="339"/>
    </row>
    <row r="4470" spans="7:56" s="338" customFormat="1">
      <c r="G4470" s="340"/>
      <c r="L4470" s="340"/>
      <c r="P4470" s="340"/>
      <c r="U4470" s="340"/>
      <c r="V4470" s="340"/>
      <c r="Z4470" s="340"/>
      <c r="AE4470" s="340"/>
      <c r="AI4470" s="340"/>
      <c r="AN4470" s="340"/>
      <c r="AO4470" s="340"/>
      <c r="AS4470" s="340"/>
      <c r="AX4470" s="340"/>
      <c r="BB4470" s="340"/>
      <c r="BD4470" s="339"/>
    </row>
    <row r="4471" spans="7:56" s="338" customFormat="1">
      <c r="G4471" s="340"/>
      <c r="L4471" s="340"/>
      <c r="P4471" s="340"/>
      <c r="U4471" s="340"/>
      <c r="V4471" s="340"/>
      <c r="Z4471" s="340"/>
      <c r="AE4471" s="340"/>
      <c r="AI4471" s="340"/>
      <c r="AN4471" s="340"/>
      <c r="AO4471" s="340"/>
      <c r="AS4471" s="340"/>
      <c r="AX4471" s="340"/>
      <c r="BB4471" s="340"/>
      <c r="BD4471" s="339"/>
    </row>
    <row r="4472" spans="7:56" s="338" customFormat="1">
      <c r="G4472" s="340"/>
      <c r="L4472" s="340"/>
      <c r="P4472" s="340"/>
      <c r="U4472" s="340"/>
      <c r="V4472" s="340"/>
      <c r="Z4472" s="340"/>
      <c r="AE4472" s="340"/>
      <c r="AI4472" s="340"/>
      <c r="AN4472" s="340"/>
      <c r="AO4472" s="340"/>
      <c r="AS4472" s="340"/>
      <c r="AX4472" s="340"/>
      <c r="BB4472" s="340"/>
      <c r="BD4472" s="339"/>
    </row>
    <row r="4473" spans="7:56" s="338" customFormat="1">
      <c r="G4473" s="340"/>
      <c r="L4473" s="340"/>
      <c r="P4473" s="340"/>
      <c r="U4473" s="340"/>
      <c r="V4473" s="340"/>
      <c r="Z4473" s="340"/>
      <c r="AE4473" s="340"/>
      <c r="AI4473" s="340"/>
      <c r="AN4473" s="340"/>
      <c r="AO4473" s="340"/>
      <c r="AS4473" s="340"/>
      <c r="AX4473" s="340"/>
      <c r="BB4473" s="340"/>
      <c r="BD4473" s="339"/>
    </row>
    <row r="4474" spans="7:56" s="338" customFormat="1">
      <c r="G4474" s="340"/>
      <c r="L4474" s="340"/>
      <c r="P4474" s="340"/>
      <c r="U4474" s="340"/>
      <c r="V4474" s="340"/>
      <c r="Z4474" s="340"/>
      <c r="AE4474" s="340"/>
      <c r="AI4474" s="340"/>
      <c r="AN4474" s="340"/>
      <c r="AO4474" s="340"/>
      <c r="AS4474" s="340"/>
      <c r="AX4474" s="340"/>
      <c r="BB4474" s="340"/>
      <c r="BD4474" s="339"/>
    </row>
    <row r="4475" spans="7:56" s="338" customFormat="1">
      <c r="G4475" s="340"/>
      <c r="L4475" s="340"/>
      <c r="P4475" s="340"/>
      <c r="U4475" s="340"/>
      <c r="V4475" s="340"/>
      <c r="Z4475" s="340"/>
      <c r="AE4475" s="340"/>
      <c r="AI4475" s="340"/>
      <c r="AN4475" s="340"/>
      <c r="AO4475" s="340"/>
      <c r="AS4475" s="340"/>
      <c r="AX4475" s="340"/>
      <c r="BB4475" s="340"/>
      <c r="BD4475" s="339"/>
    </row>
    <row r="4476" spans="7:56" s="338" customFormat="1">
      <c r="G4476" s="340"/>
      <c r="L4476" s="340"/>
      <c r="P4476" s="340"/>
      <c r="U4476" s="340"/>
      <c r="V4476" s="340"/>
      <c r="Z4476" s="340"/>
      <c r="AE4476" s="340"/>
      <c r="AI4476" s="340"/>
      <c r="AN4476" s="340"/>
      <c r="AO4476" s="340"/>
      <c r="AS4476" s="340"/>
      <c r="AX4476" s="340"/>
      <c r="BB4476" s="340"/>
      <c r="BD4476" s="339"/>
    </row>
    <row r="4477" spans="7:56" s="338" customFormat="1">
      <c r="G4477" s="340"/>
      <c r="L4477" s="340"/>
      <c r="P4477" s="340"/>
      <c r="U4477" s="340"/>
      <c r="V4477" s="340"/>
      <c r="Z4477" s="340"/>
      <c r="AE4477" s="340"/>
      <c r="AI4477" s="340"/>
      <c r="AN4477" s="340"/>
      <c r="AO4477" s="340"/>
      <c r="AS4477" s="340"/>
      <c r="AX4477" s="340"/>
      <c r="BB4477" s="340"/>
      <c r="BD4477" s="339"/>
    </row>
    <row r="4478" spans="7:56" s="338" customFormat="1">
      <c r="G4478" s="340"/>
      <c r="L4478" s="340"/>
      <c r="P4478" s="340"/>
      <c r="U4478" s="340"/>
      <c r="V4478" s="340"/>
      <c r="Z4478" s="340"/>
      <c r="AE4478" s="340"/>
      <c r="AI4478" s="340"/>
      <c r="AN4478" s="340"/>
      <c r="AO4478" s="340"/>
      <c r="AS4478" s="340"/>
      <c r="AX4478" s="340"/>
      <c r="BB4478" s="340"/>
      <c r="BD4478" s="339"/>
    </row>
    <row r="4479" spans="7:56" s="338" customFormat="1">
      <c r="G4479" s="340"/>
      <c r="L4479" s="340"/>
      <c r="P4479" s="340"/>
      <c r="U4479" s="340"/>
      <c r="V4479" s="340"/>
      <c r="Z4479" s="340"/>
      <c r="AE4479" s="340"/>
      <c r="AI4479" s="340"/>
      <c r="AN4479" s="340"/>
      <c r="AO4479" s="340"/>
      <c r="AS4479" s="340"/>
      <c r="AX4479" s="340"/>
      <c r="BB4479" s="340"/>
      <c r="BD4479" s="339"/>
    </row>
    <row r="4480" spans="7:56" s="338" customFormat="1">
      <c r="G4480" s="340"/>
      <c r="L4480" s="340"/>
      <c r="P4480" s="340"/>
      <c r="U4480" s="340"/>
      <c r="V4480" s="340"/>
      <c r="Z4480" s="340"/>
      <c r="AE4480" s="340"/>
      <c r="AI4480" s="340"/>
      <c r="AN4480" s="340"/>
      <c r="AO4480" s="340"/>
      <c r="AS4480" s="340"/>
      <c r="AX4480" s="340"/>
      <c r="BB4480" s="340"/>
      <c r="BD4480" s="339"/>
    </row>
    <row r="4481" spans="7:56" s="338" customFormat="1">
      <c r="G4481" s="340"/>
      <c r="L4481" s="340"/>
      <c r="P4481" s="340"/>
      <c r="U4481" s="340"/>
      <c r="V4481" s="340"/>
      <c r="Z4481" s="340"/>
      <c r="AE4481" s="340"/>
      <c r="AI4481" s="340"/>
      <c r="AN4481" s="340"/>
      <c r="AO4481" s="340"/>
      <c r="AS4481" s="340"/>
      <c r="AX4481" s="340"/>
      <c r="BB4481" s="340"/>
      <c r="BD4481" s="339"/>
    </row>
    <row r="4482" spans="7:56" s="338" customFormat="1">
      <c r="G4482" s="340"/>
      <c r="L4482" s="340"/>
      <c r="P4482" s="340"/>
      <c r="U4482" s="340"/>
      <c r="V4482" s="340"/>
      <c r="Z4482" s="340"/>
      <c r="AE4482" s="340"/>
      <c r="AI4482" s="340"/>
      <c r="AN4482" s="340"/>
      <c r="AO4482" s="340"/>
      <c r="AS4482" s="340"/>
      <c r="AX4482" s="340"/>
      <c r="BB4482" s="340"/>
      <c r="BD4482" s="339"/>
    </row>
    <row r="4483" spans="7:56" s="338" customFormat="1">
      <c r="G4483" s="340"/>
      <c r="L4483" s="340"/>
      <c r="P4483" s="340"/>
      <c r="U4483" s="340"/>
      <c r="V4483" s="340"/>
      <c r="Z4483" s="340"/>
      <c r="AE4483" s="340"/>
      <c r="AI4483" s="340"/>
      <c r="AN4483" s="340"/>
      <c r="AO4483" s="340"/>
      <c r="AS4483" s="340"/>
      <c r="AX4483" s="340"/>
      <c r="BB4483" s="340"/>
      <c r="BD4483" s="339"/>
    </row>
    <row r="4484" spans="7:56" s="338" customFormat="1">
      <c r="G4484" s="340"/>
      <c r="L4484" s="340"/>
      <c r="P4484" s="340"/>
      <c r="U4484" s="340"/>
      <c r="V4484" s="340"/>
      <c r="Z4484" s="340"/>
      <c r="AE4484" s="340"/>
      <c r="AI4484" s="340"/>
      <c r="AN4484" s="340"/>
      <c r="AO4484" s="340"/>
      <c r="AS4484" s="340"/>
      <c r="AX4484" s="340"/>
      <c r="BB4484" s="340"/>
      <c r="BD4484" s="339"/>
    </row>
    <row r="4485" spans="7:56" s="338" customFormat="1">
      <c r="G4485" s="340"/>
      <c r="L4485" s="340"/>
      <c r="P4485" s="340"/>
      <c r="U4485" s="340"/>
      <c r="V4485" s="340"/>
      <c r="Z4485" s="340"/>
      <c r="AE4485" s="340"/>
      <c r="AI4485" s="340"/>
      <c r="AN4485" s="340"/>
      <c r="AO4485" s="340"/>
      <c r="AS4485" s="340"/>
      <c r="AX4485" s="340"/>
      <c r="BB4485" s="340"/>
      <c r="BD4485" s="339"/>
    </row>
    <row r="4486" spans="7:56" s="338" customFormat="1">
      <c r="G4486" s="340"/>
      <c r="L4486" s="340"/>
      <c r="P4486" s="340"/>
      <c r="U4486" s="340"/>
      <c r="V4486" s="340"/>
      <c r="Z4486" s="340"/>
      <c r="AE4486" s="340"/>
      <c r="AI4486" s="340"/>
      <c r="AN4486" s="340"/>
      <c r="AO4486" s="340"/>
      <c r="AS4486" s="340"/>
      <c r="AX4486" s="340"/>
      <c r="BB4486" s="340"/>
      <c r="BD4486" s="339"/>
    </row>
    <row r="4487" spans="7:56" s="338" customFormat="1">
      <c r="G4487" s="340"/>
      <c r="L4487" s="340"/>
      <c r="P4487" s="340"/>
      <c r="U4487" s="340"/>
      <c r="V4487" s="340"/>
      <c r="Z4487" s="340"/>
      <c r="AE4487" s="340"/>
      <c r="AI4487" s="340"/>
      <c r="AN4487" s="340"/>
      <c r="AO4487" s="340"/>
      <c r="AS4487" s="340"/>
      <c r="AX4487" s="340"/>
      <c r="BB4487" s="340"/>
      <c r="BD4487" s="339"/>
    </row>
    <row r="4488" spans="7:56" s="338" customFormat="1">
      <c r="G4488" s="340"/>
      <c r="L4488" s="340"/>
      <c r="P4488" s="340"/>
      <c r="U4488" s="340"/>
      <c r="V4488" s="340"/>
      <c r="Z4488" s="340"/>
      <c r="AE4488" s="340"/>
      <c r="AI4488" s="340"/>
      <c r="AN4488" s="340"/>
      <c r="AO4488" s="340"/>
      <c r="AS4488" s="340"/>
      <c r="AX4488" s="340"/>
      <c r="BB4488" s="340"/>
      <c r="BD4488" s="339"/>
    </row>
    <row r="4489" spans="7:56" s="338" customFormat="1">
      <c r="G4489" s="340"/>
      <c r="L4489" s="340"/>
      <c r="P4489" s="340"/>
      <c r="U4489" s="340"/>
      <c r="V4489" s="340"/>
      <c r="Z4489" s="340"/>
      <c r="AE4489" s="340"/>
      <c r="AI4489" s="340"/>
      <c r="AN4489" s="340"/>
      <c r="AO4489" s="340"/>
      <c r="AS4489" s="340"/>
      <c r="AX4489" s="340"/>
      <c r="BB4489" s="340"/>
      <c r="BD4489" s="339"/>
    </row>
    <row r="4490" spans="7:56" s="338" customFormat="1">
      <c r="G4490" s="340"/>
      <c r="L4490" s="340"/>
      <c r="P4490" s="340"/>
      <c r="U4490" s="340"/>
      <c r="V4490" s="340"/>
      <c r="Z4490" s="340"/>
      <c r="AE4490" s="340"/>
      <c r="AI4490" s="340"/>
      <c r="AN4490" s="340"/>
      <c r="AO4490" s="340"/>
      <c r="AS4490" s="340"/>
      <c r="AX4490" s="340"/>
      <c r="BB4490" s="340"/>
      <c r="BD4490" s="339"/>
    </row>
    <row r="4491" spans="7:56" s="338" customFormat="1">
      <c r="G4491" s="340"/>
      <c r="L4491" s="340"/>
      <c r="P4491" s="340"/>
      <c r="U4491" s="340"/>
      <c r="V4491" s="340"/>
      <c r="Z4491" s="340"/>
      <c r="AE4491" s="340"/>
      <c r="AI4491" s="340"/>
      <c r="AN4491" s="340"/>
      <c r="AO4491" s="340"/>
      <c r="AS4491" s="340"/>
      <c r="AX4491" s="340"/>
      <c r="BB4491" s="340"/>
      <c r="BD4491" s="339"/>
    </row>
    <row r="4492" spans="7:56" s="338" customFormat="1">
      <c r="G4492" s="340"/>
      <c r="L4492" s="340"/>
      <c r="P4492" s="340"/>
      <c r="U4492" s="340"/>
      <c r="V4492" s="340"/>
      <c r="Z4492" s="340"/>
      <c r="AE4492" s="340"/>
      <c r="AI4492" s="340"/>
      <c r="AN4492" s="340"/>
      <c r="AO4492" s="340"/>
      <c r="AS4492" s="340"/>
      <c r="AX4492" s="340"/>
      <c r="BB4492" s="340"/>
      <c r="BD4492" s="339"/>
    </row>
    <row r="4493" spans="7:56" s="338" customFormat="1">
      <c r="G4493" s="340"/>
      <c r="L4493" s="340"/>
      <c r="P4493" s="340"/>
      <c r="U4493" s="340"/>
      <c r="V4493" s="340"/>
      <c r="Z4493" s="340"/>
      <c r="AE4493" s="340"/>
      <c r="AI4493" s="340"/>
      <c r="AN4493" s="340"/>
      <c r="AO4493" s="340"/>
      <c r="AS4493" s="340"/>
      <c r="AX4493" s="340"/>
      <c r="BB4493" s="340"/>
      <c r="BD4493" s="339"/>
    </row>
    <row r="4494" spans="7:56" s="338" customFormat="1">
      <c r="G4494" s="340"/>
      <c r="L4494" s="340"/>
      <c r="P4494" s="340"/>
      <c r="U4494" s="340"/>
      <c r="V4494" s="340"/>
      <c r="Z4494" s="340"/>
      <c r="AE4494" s="340"/>
      <c r="AI4494" s="340"/>
      <c r="AN4494" s="340"/>
      <c r="AO4494" s="340"/>
      <c r="AS4494" s="340"/>
      <c r="AX4494" s="340"/>
      <c r="BB4494" s="340"/>
      <c r="BD4494" s="339"/>
    </row>
    <row r="4495" spans="7:56" s="338" customFormat="1">
      <c r="G4495" s="340"/>
      <c r="L4495" s="340"/>
      <c r="P4495" s="340"/>
      <c r="U4495" s="340"/>
      <c r="V4495" s="340"/>
      <c r="Z4495" s="340"/>
      <c r="AE4495" s="340"/>
      <c r="AI4495" s="340"/>
      <c r="AN4495" s="340"/>
      <c r="AO4495" s="340"/>
      <c r="AS4495" s="340"/>
      <c r="AX4495" s="340"/>
      <c r="BB4495" s="340"/>
      <c r="BD4495" s="339"/>
    </row>
    <row r="4496" spans="7:56" s="338" customFormat="1">
      <c r="G4496" s="340"/>
      <c r="L4496" s="340"/>
      <c r="P4496" s="340"/>
      <c r="U4496" s="340"/>
      <c r="V4496" s="340"/>
      <c r="Z4496" s="340"/>
      <c r="AE4496" s="340"/>
      <c r="AI4496" s="340"/>
      <c r="AN4496" s="340"/>
      <c r="AO4496" s="340"/>
      <c r="AS4496" s="340"/>
      <c r="AX4496" s="340"/>
      <c r="BB4496" s="340"/>
      <c r="BD4496" s="339"/>
    </row>
    <row r="4497" spans="7:56" s="338" customFormat="1">
      <c r="G4497" s="340"/>
      <c r="L4497" s="340"/>
      <c r="P4497" s="340"/>
      <c r="U4497" s="340"/>
      <c r="V4497" s="340"/>
      <c r="Z4497" s="340"/>
      <c r="AE4497" s="340"/>
      <c r="AI4497" s="340"/>
      <c r="AN4497" s="340"/>
      <c r="AO4497" s="340"/>
      <c r="AS4497" s="340"/>
      <c r="AX4497" s="340"/>
      <c r="BB4497" s="340"/>
      <c r="BD4497" s="339"/>
    </row>
    <row r="4498" spans="7:56" s="338" customFormat="1">
      <c r="G4498" s="340"/>
      <c r="L4498" s="340"/>
      <c r="P4498" s="340"/>
      <c r="U4498" s="340"/>
      <c r="V4498" s="340"/>
      <c r="Z4498" s="340"/>
      <c r="AE4498" s="340"/>
      <c r="AI4498" s="340"/>
      <c r="AN4498" s="340"/>
      <c r="AO4498" s="340"/>
      <c r="AS4498" s="340"/>
      <c r="AX4498" s="340"/>
      <c r="BB4498" s="340"/>
      <c r="BD4498" s="339"/>
    </row>
    <row r="4499" spans="7:56" s="338" customFormat="1">
      <c r="G4499" s="340"/>
      <c r="L4499" s="340"/>
      <c r="P4499" s="340"/>
      <c r="U4499" s="340"/>
      <c r="V4499" s="340"/>
      <c r="Z4499" s="340"/>
      <c r="AE4499" s="340"/>
      <c r="AI4499" s="340"/>
      <c r="AN4499" s="340"/>
      <c r="AO4499" s="340"/>
      <c r="AS4499" s="340"/>
      <c r="AX4499" s="340"/>
      <c r="BB4499" s="340"/>
      <c r="BD4499" s="339"/>
    </row>
    <row r="4500" spans="7:56" s="338" customFormat="1">
      <c r="G4500" s="340"/>
      <c r="L4500" s="340"/>
      <c r="P4500" s="340"/>
      <c r="U4500" s="340"/>
      <c r="V4500" s="340"/>
      <c r="Z4500" s="340"/>
      <c r="AE4500" s="340"/>
      <c r="AI4500" s="340"/>
      <c r="AN4500" s="340"/>
      <c r="AO4500" s="340"/>
      <c r="AS4500" s="340"/>
      <c r="AX4500" s="340"/>
      <c r="BB4500" s="340"/>
      <c r="BD4500" s="339"/>
    </row>
    <row r="4501" spans="7:56" s="338" customFormat="1">
      <c r="G4501" s="340"/>
      <c r="L4501" s="340"/>
      <c r="P4501" s="340"/>
      <c r="U4501" s="340"/>
      <c r="V4501" s="340"/>
      <c r="Z4501" s="340"/>
      <c r="AE4501" s="340"/>
      <c r="AI4501" s="340"/>
      <c r="AN4501" s="340"/>
      <c r="AO4501" s="340"/>
      <c r="AS4501" s="340"/>
      <c r="AX4501" s="340"/>
      <c r="BB4501" s="340"/>
      <c r="BD4501" s="339"/>
    </row>
    <row r="4502" spans="7:56" s="338" customFormat="1">
      <c r="G4502" s="340"/>
      <c r="L4502" s="340"/>
      <c r="P4502" s="340"/>
      <c r="U4502" s="340"/>
      <c r="V4502" s="340"/>
      <c r="Z4502" s="340"/>
      <c r="AE4502" s="340"/>
      <c r="AI4502" s="340"/>
      <c r="AN4502" s="340"/>
      <c r="AO4502" s="340"/>
      <c r="AS4502" s="340"/>
      <c r="AX4502" s="340"/>
      <c r="BB4502" s="340"/>
      <c r="BD4502" s="339"/>
    </row>
    <row r="4503" spans="7:56" s="338" customFormat="1">
      <c r="G4503" s="340"/>
      <c r="L4503" s="340"/>
      <c r="P4503" s="340"/>
      <c r="U4503" s="340"/>
      <c r="V4503" s="340"/>
      <c r="Z4503" s="340"/>
      <c r="AE4503" s="340"/>
      <c r="AI4503" s="340"/>
      <c r="AN4503" s="340"/>
      <c r="AO4503" s="340"/>
      <c r="AS4503" s="340"/>
      <c r="AX4503" s="340"/>
      <c r="BB4503" s="340"/>
      <c r="BD4503" s="339"/>
    </row>
    <row r="4504" spans="7:56" s="338" customFormat="1">
      <c r="G4504" s="340"/>
      <c r="L4504" s="340"/>
      <c r="P4504" s="340"/>
      <c r="U4504" s="340"/>
      <c r="V4504" s="340"/>
      <c r="Z4504" s="340"/>
      <c r="AE4504" s="340"/>
      <c r="AI4504" s="340"/>
      <c r="AN4504" s="340"/>
      <c r="AO4504" s="340"/>
      <c r="AS4504" s="340"/>
      <c r="AX4504" s="340"/>
      <c r="BB4504" s="340"/>
      <c r="BD4504" s="339"/>
    </row>
    <row r="4505" spans="7:56" s="338" customFormat="1">
      <c r="G4505" s="340"/>
      <c r="L4505" s="340"/>
      <c r="P4505" s="340"/>
      <c r="U4505" s="340"/>
      <c r="V4505" s="340"/>
      <c r="Z4505" s="340"/>
      <c r="AE4505" s="340"/>
      <c r="AI4505" s="340"/>
      <c r="AN4505" s="340"/>
      <c r="AO4505" s="340"/>
      <c r="AS4505" s="340"/>
      <c r="AX4505" s="340"/>
      <c r="BB4505" s="340"/>
      <c r="BD4505" s="339"/>
    </row>
    <row r="4506" spans="7:56" s="338" customFormat="1">
      <c r="G4506" s="340"/>
      <c r="L4506" s="340"/>
      <c r="P4506" s="340"/>
      <c r="U4506" s="340"/>
      <c r="V4506" s="340"/>
      <c r="Z4506" s="340"/>
      <c r="AE4506" s="340"/>
      <c r="AI4506" s="340"/>
      <c r="AN4506" s="340"/>
      <c r="AO4506" s="340"/>
      <c r="AS4506" s="340"/>
      <c r="AX4506" s="340"/>
      <c r="BB4506" s="340"/>
      <c r="BD4506" s="339"/>
    </row>
    <row r="4507" spans="7:56" s="338" customFormat="1">
      <c r="G4507" s="340"/>
      <c r="L4507" s="340"/>
      <c r="P4507" s="340"/>
      <c r="U4507" s="340"/>
      <c r="V4507" s="340"/>
      <c r="Z4507" s="340"/>
      <c r="AE4507" s="340"/>
      <c r="AI4507" s="340"/>
      <c r="AN4507" s="340"/>
      <c r="AO4507" s="340"/>
      <c r="AS4507" s="340"/>
      <c r="AX4507" s="340"/>
      <c r="BB4507" s="340"/>
      <c r="BD4507" s="339"/>
    </row>
    <row r="4508" spans="7:56" s="338" customFormat="1">
      <c r="G4508" s="340"/>
      <c r="L4508" s="340"/>
      <c r="P4508" s="340"/>
      <c r="U4508" s="340"/>
      <c r="V4508" s="340"/>
      <c r="Z4508" s="340"/>
      <c r="AE4508" s="340"/>
      <c r="AI4508" s="340"/>
      <c r="AN4508" s="340"/>
      <c r="AO4508" s="340"/>
      <c r="AS4508" s="340"/>
      <c r="AX4508" s="340"/>
      <c r="BB4508" s="340"/>
      <c r="BD4508" s="339"/>
    </row>
    <row r="4509" spans="7:56" s="338" customFormat="1">
      <c r="G4509" s="340"/>
      <c r="L4509" s="340"/>
      <c r="P4509" s="340"/>
      <c r="U4509" s="340"/>
      <c r="V4509" s="340"/>
      <c r="Z4509" s="340"/>
      <c r="AE4509" s="340"/>
      <c r="AI4509" s="340"/>
      <c r="AN4509" s="340"/>
      <c r="AO4509" s="340"/>
      <c r="AS4509" s="340"/>
      <c r="AX4509" s="340"/>
      <c r="BB4509" s="340"/>
      <c r="BD4509" s="339"/>
    </row>
    <row r="4510" spans="7:56" s="338" customFormat="1">
      <c r="G4510" s="340"/>
      <c r="L4510" s="340"/>
      <c r="P4510" s="340"/>
      <c r="U4510" s="340"/>
      <c r="V4510" s="340"/>
      <c r="Z4510" s="340"/>
      <c r="AE4510" s="340"/>
      <c r="AI4510" s="340"/>
      <c r="AN4510" s="340"/>
      <c r="AO4510" s="340"/>
      <c r="AS4510" s="340"/>
      <c r="AX4510" s="340"/>
      <c r="BB4510" s="340"/>
      <c r="BD4510" s="339"/>
    </row>
    <row r="4511" spans="7:56" s="338" customFormat="1">
      <c r="G4511" s="340"/>
      <c r="L4511" s="340"/>
      <c r="P4511" s="340"/>
      <c r="U4511" s="340"/>
      <c r="V4511" s="340"/>
      <c r="Z4511" s="340"/>
      <c r="AE4511" s="340"/>
      <c r="AI4511" s="340"/>
      <c r="AN4511" s="340"/>
      <c r="AO4511" s="340"/>
      <c r="AS4511" s="340"/>
      <c r="AX4511" s="340"/>
      <c r="BB4511" s="340"/>
      <c r="BD4511" s="339"/>
    </row>
    <row r="4512" spans="7:56" s="338" customFormat="1">
      <c r="G4512" s="340"/>
      <c r="L4512" s="340"/>
      <c r="P4512" s="340"/>
      <c r="U4512" s="340"/>
      <c r="V4512" s="340"/>
      <c r="Z4512" s="340"/>
      <c r="AE4512" s="340"/>
      <c r="AI4512" s="340"/>
      <c r="AN4512" s="340"/>
      <c r="AO4512" s="340"/>
      <c r="AS4512" s="340"/>
      <c r="AX4512" s="340"/>
      <c r="BB4512" s="340"/>
      <c r="BD4512" s="339"/>
    </row>
    <row r="4513" spans="7:56" s="338" customFormat="1">
      <c r="G4513" s="340"/>
      <c r="L4513" s="340"/>
      <c r="P4513" s="340"/>
      <c r="U4513" s="340"/>
      <c r="V4513" s="340"/>
      <c r="Z4513" s="340"/>
      <c r="AE4513" s="340"/>
      <c r="AI4513" s="340"/>
      <c r="AN4513" s="340"/>
      <c r="AO4513" s="340"/>
      <c r="AS4513" s="340"/>
      <c r="AX4513" s="340"/>
      <c r="BB4513" s="340"/>
      <c r="BD4513" s="339"/>
    </row>
    <row r="4514" spans="7:56" s="338" customFormat="1">
      <c r="G4514" s="340"/>
      <c r="L4514" s="340"/>
      <c r="P4514" s="340"/>
      <c r="U4514" s="340"/>
      <c r="V4514" s="340"/>
      <c r="Z4514" s="340"/>
      <c r="AE4514" s="340"/>
      <c r="AI4514" s="340"/>
      <c r="AN4514" s="340"/>
      <c r="AO4514" s="340"/>
      <c r="AS4514" s="340"/>
      <c r="AX4514" s="340"/>
      <c r="BB4514" s="340"/>
      <c r="BD4514" s="339"/>
    </row>
    <row r="4515" spans="7:56" s="338" customFormat="1">
      <c r="G4515" s="340"/>
      <c r="L4515" s="340"/>
      <c r="P4515" s="340"/>
      <c r="U4515" s="340"/>
      <c r="V4515" s="340"/>
      <c r="Z4515" s="340"/>
      <c r="AE4515" s="340"/>
      <c r="AI4515" s="340"/>
      <c r="AN4515" s="340"/>
      <c r="AO4515" s="340"/>
      <c r="AS4515" s="340"/>
      <c r="AX4515" s="340"/>
      <c r="BB4515" s="340"/>
      <c r="BD4515" s="339"/>
    </row>
    <row r="4516" spans="7:56" s="338" customFormat="1">
      <c r="G4516" s="340"/>
      <c r="L4516" s="340"/>
      <c r="P4516" s="340"/>
      <c r="U4516" s="340"/>
      <c r="V4516" s="340"/>
      <c r="Z4516" s="340"/>
      <c r="AE4516" s="340"/>
      <c r="AI4516" s="340"/>
      <c r="AN4516" s="340"/>
      <c r="AO4516" s="340"/>
      <c r="AS4516" s="340"/>
      <c r="AX4516" s="340"/>
      <c r="BB4516" s="340"/>
      <c r="BD4516" s="339"/>
    </row>
    <row r="4517" spans="7:56" s="338" customFormat="1">
      <c r="G4517" s="340"/>
      <c r="L4517" s="340"/>
      <c r="P4517" s="340"/>
      <c r="U4517" s="340"/>
      <c r="V4517" s="340"/>
      <c r="Z4517" s="340"/>
      <c r="AE4517" s="340"/>
      <c r="AI4517" s="340"/>
      <c r="AN4517" s="340"/>
      <c r="AO4517" s="340"/>
      <c r="AS4517" s="340"/>
      <c r="AX4517" s="340"/>
      <c r="BB4517" s="340"/>
      <c r="BD4517" s="339"/>
    </row>
    <row r="4518" spans="7:56" s="338" customFormat="1">
      <c r="G4518" s="340"/>
      <c r="L4518" s="340"/>
      <c r="P4518" s="340"/>
      <c r="U4518" s="340"/>
      <c r="V4518" s="340"/>
      <c r="Z4518" s="340"/>
      <c r="AE4518" s="340"/>
      <c r="AI4518" s="340"/>
      <c r="AN4518" s="340"/>
      <c r="AO4518" s="340"/>
      <c r="AS4518" s="340"/>
      <c r="AX4518" s="340"/>
      <c r="BB4518" s="340"/>
      <c r="BD4518" s="339"/>
    </row>
    <row r="4519" spans="7:56" s="338" customFormat="1">
      <c r="G4519" s="340"/>
      <c r="L4519" s="340"/>
      <c r="P4519" s="340"/>
      <c r="U4519" s="340"/>
      <c r="V4519" s="340"/>
      <c r="Z4519" s="340"/>
      <c r="AE4519" s="340"/>
      <c r="AI4519" s="340"/>
      <c r="AN4519" s="340"/>
      <c r="AO4519" s="340"/>
      <c r="AS4519" s="340"/>
      <c r="AX4519" s="340"/>
      <c r="BB4519" s="340"/>
      <c r="BD4519" s="339"/>
    </row>
    <row r="4520" spans="7:56" s="338" customFormat="1">
      <c r="G4520" s="340"/>
      <c r="L4520" s="340"/>
      <c r="P4520" s="340"/>
      <c r="U4520" s="340"/>
      <c r="V4520" s="340"/>
      <c r="Z4520" s="340"/>
      <c r="AE4520" s="340"/>
      <c r="AI4520" s="340"/>
      <c r="AN4520" s="340"/>
      <c r="AO4520" s="340"/>
      <c r="AS4520" s="340"/>
      <c r="AX4520" s="340"/>
      <c r="BB4520" s="340"/>
      <c r="BD4520" s="339"/>
    </row>
    <row r="4521" spans="7:56" s="338" customFormat="1">
      <c r="G4521" s="340"/>
      <c r="L4521" s="340"/>
      <c r="P4521" s="340"/>
      <c r="U4521" s="340"/>
      <c r="V4521" s="340"/>
      <c r="Z4521" s="340"/>
      <c r="AE4521" s="340"/>
      <c r="AI4521" s="340"/>
      <c r="AN4521" s="340"/>
      <c r="AO4521" s="340"/>
      <c r="AS4521" s="340"/>
      <c r="AX4521" s="340"/>
      <c r="BB4521" s="340"/>
      <c r="BD4521" s="339"/>
    </row>
    <row r="4522" spans="7:56" s="338" customFormat="1">
      <c r="G4522" s="340"/>
      <c r="L4522" s="340"/>
      <c r="P4522" s="340"/>
      <c r="U4522" s="340"/>
      <c r="V4522" s="340"/>
      <c r="Z4522" s="340"/>
      <c r="AE4522" s="340"/>
      <c r="AI4522" s="340"/>
      <c r="AN4522" s="340"/>
      <c r="AO4522" s="340"/>
      <c r="AS4522" s="340"/>
      <c r="AX4522" s="340"/>
      <c r="BB4522" s="340"/>
      <c r="BD4522" s="339"/>
    </row>
    <row r="4523" spans="7:56" s="338" customFormat="1">
      <c r="G4523" s="340"/>
      <c r="L4523" s="340"/>
      <c r="P4523" s="340"/>
      <c r="U4523" s="340"/>
      <c r="V4523" s="340"/>
      <c r="Z4523" s="340"/>
      <c r="AE4523" s="340"/>
      <c r="AI4523" s="340"/>
      <c r="AN4523" s="340"/>
      <c r="AO4523" s="340"/>
      <c r="AS4523" s="340"/>
      <c r="AX4523" s="340"/>
      <c r="BB4523" s="340"/>
      <c r="BD4523" s="339"/>
    </row>
    <row r="4524" spans="7:56" s="338" customFormat="1">
      <c r="G4524" s="340"/>
      <c r="L4524" s="340"/>
      <c r="P4524" s="340"/>
      <c r="U4524" s="340"/>
      <c r="V4524" s="340"/>
      <c r="Z4524" s="340"/>
      <c r="AE4524" s="340"/>
      <c r="AI4524" s="340"/>
      <c r="AN4524" s="340"/>
      <c r="AO4524" s="340"/>
      <c r="AS4524" s="340"/>
      <c r="AX4524" s="340"/>
      <c r="BB4524" s="340"/>
      <c r="BD4524" s="339"/>
    </row>
    <row r="4525" spans="7:56" s="338" customFormat="1">
      <c r="G4525" s="340"/>
      <c r="L4525" s="340"/>
      <c r="P4525" s="340"/>
      <c r="U4525" s="340"/>
      <c r="V4525" s="340"/>
      <c r="Z4525" s="340"/>
      <c r="AE4525" s="340"/>
      <c r="AI4525" s="340"/>
      <c r="AN4525" s="340"/>
      <c r="AO4525" s="340"/>
      <c r="AS4525" s="340"/>
      <c r="AX4525" s="340"/>
      <c r="BB4525" s="340"/>
      <c r="BD4525" s="339"/>
    </row>
    <row r="4526" spans="7:56" s="338" customFormat="1">
      <c r="G4526" s="340"/>
      <c r="L4526" s="340"/>
      <c r="P4526" s="340"/>
      <c r="U4526" s="340"/>
      <c r="V4526" s="340"/>
      <c r="Z4526" s="340"/>
      <c r="AE4526" s="340"/>
      <c r="AI4526" s="340"/>
      <c r="AN4526" s="340"/>
      <c r="AO4526" s="340"/>
      <c r="AS4526" s="340"/>
      <c r="AX4526" s="340"/>
      <c r="BB4526" s="340"/>
      <c r="BD4526" s="339"/>
    </row>
    <row r="4527" spans="7:56" s="338" customFormat="1">
      <c r="G4527" s="340"/>
      <c r="L4527" s="340"/>
      <c r="P4527" s="340"/>
      <c r="U4527" s="340"/>
      <c r="V4527" s="340"/>
      <c r="Z4527" s="340"/>
      <c r="AE4527" s="340"/>
      <c r="AI4527" s="340"/>
      <c r="AN4527" s="340"/>
      <c r="AO4527" s="340"/>
      <c r="AS4527" s="340"/>
      <c r="AX4527" s="340"/>
      <c r="BB4527" s="340"/>
      <c r="BD4527" s="339"/>
    </row>
    <row r="4528" spans="7:56" s="338" customFormat="1">
      <c r="G4528" s="340"/>
      <c r="L4528" s="340"/>
      <c r="P4528" s="340"/>
      <c r="U4528" s="340"/>
      <c r="V4528" s="340"/>
      <c r="Z4528" s="340"/>
      <c r="AE4528" s="340"/>
      <c r="AI4528" s="340"/>
      <c r="AN4528" s="340"/>
      <c r="AO4528" s="340"/>
      <c r="AS4528" s="340"/>
      <c r="AX4528" s="340"/>
      <c r="BB4528" s="340"/>
      <c r="BD4528" s="339"/>
    </row>
    <row r="4529" spans="7:56" s="338" customFormat="1">
      <c r="G4529" s="340"/>
      <c r="L4529" s="340"/>
      <c r="P4529" s="340"/>
      <c r="U4529" s="340"/>
      <c r="V4529" s="340"/>
      <c r="Z4529" s="340"/>
      <c r="AE4529" s="340"/>
      <c r="AI4529" s="340"/>
      <c r="AN4529" s="340"/>
      <c r="AO4529" s="340"/>
      <c r="AS4529" s="340"/>
      <c r="AX4529" s="340"/>
      <c r="BB4529" s="340"/>
      <c r="BD4529" s="339"/>
    </row>
    <row r="4530" spans="7:56" s="338" customFormat="1">
      <c r="G4530" s="340"/>
      <c r="L4530" s="340"/>
      <c r="P4530" s="340"/>
      <c r="U4530" s="340"/>
      <c r="V4530" s="340"/>
      <c r="Z4530" s="340"/>
      <c r="AE4530" s="340"/>
      <c r="AI4530" s="340"/>
      <c r="AN4530" s="340"/>
      <c r="AO4530" s="340"/>
      <c r="AS4530" s="340"/>
      <c r="AX4530" s="340"/>
      <c r="BB4530" s="340"/>
      <c r="BD4530" s="339"/>
    </row>
    <row r="4531" spans="7:56" s="338" customFormat="1">
      <c r="G4531" s="340"/>
      <c r="L4531" s="340"/>
      <c r="P4531" s="340"/>
      <c r="U4531" s="340"/>
      <c r="V4531" s="340"/>
      <c r="Z4531" s="340"/>
      <c r="AE4531" s="340"/>
      <c r="AI4531" s="340"/>
      <c r="AN4531" s="340"/>
      <c r="AO4531" s="340"/>
      <c r="AS4531" s="340"/>
      <c r="AX4531" s="340"/>
      <c r="BB4531" s="340"/>
      <c r="BD4531" s="339"/>
    </row>
    <row r="4532" spans="7:56" s="338" customFormat="1">
      <c r="G4532" s="340"/>
      <c r="L4532" s="340"/>
      <c r="P4532" s="340"/>
      <c r="U4532" s="340"/>
      <c r="V4532" s="340"/>
      <c r="Z4532" s="340"/>
      <c r="AE4532" s="340"/>
      <c r="AI4532" s="340"/>
      <c r="AN4532" s="340"/>
      <c r="AO4532" s="340"/>
      <c r="AS4532" s="340"/>
      <c r="AX4532" s="340"/>
      <c r="BB4532" s="340"/>
      <c r="BD4532" s="339"/>
    </row>
    <row r="4533" spans="7:56" s="338" customFormat="1">
      <c r="G4533" s="340"/>
      <c r="L4533" s="340"/>
      <c r="P4533" s="340"/>
      <c r="U4533" s="340"/>
      <c r="V4533" s="340"/>
      <c r="Z4533" s="340"/>
      <c r="AE4533" s="340"/>
      <c r="AI4533" s="340"/>
      <c r="AN4533" s="340"/>
      <c r="AO4533" s="340"/>
      <c r="AS4533" s="340"/>
      <c r="AX4533" s="340"/>
      <c r="BB4533" s="340"/>
      <c r="BD4533" s="339"/>
    </row>
    <row r="4534" spans="7:56" s="338" customFormat="1">
      <c r="G4534" s="340"/>
      <c r="L4534" s="340"/>
      <c r="P4534" s="340"/>
      <c r="U4534" s="340"/>
      <c r="V4534" s="340"/>
      <c r="Z4534" s="340"/>
      <c r="AE4534" s="340"/>
      <c r="AI4534" s="340"/>
      <c r="AN4534" s="340"/>
      <c r="AO4534" s="340"/>
      <c r="AS4534" s="340"/>
      <c r="AX4534" s="340"/>
      <c r="BB4534" s="340"/>
      <c r="BD4534" s="339"/>
    </row>
    <row r="4535" spans="7:56" s="338" customFormat="1">
      <c r="G4535" s="340"/>
      <c r="L4535" s="340"/>
      <c r="P4535" s="340"/>
      <c r="U4535" s="340"/>
      <c r="V4535" s="340"/>
      <c r="Z4535" s="340"/>
      <c r="AE4535" s="340"/>
      <c r="AI4535" s="340"/>
      <c r="AN4535" s="340"/>
      <c r="AO4535" s="340"/>
      <c r="AS4535" s="340"/>
      <c r="AX4535" s="340"/>
      <c r="BB4535" s="340"/>
      <c r="BD4535" s="339"/>
    </row>
    <row r="4536" spans="7:56" s="338" customFormat="1">
      <c r="G4536" s="340"/>
      <c r="L4536" s="340"/>
      <c r="P4536" s="340"/>
      <c r="U4536" s="340"/>
      <c r="V4536" s="340"/>
      <c r="Z4536" s="340"/>
      <c r="AE4536" s="340"/>
      <c r="AI4536" s="340"/>
      <c r="AN4536" s="340"/>
      <c r="AO4536" s="340"/>
      <c r="AS4536" s="340"/>
      <c r="AX4536" s="340"/>
      <c r="BB4536" s="340"/>
      <c r="BD4536" s="339"/>
    </row>
    <row r="4537" spans="7:56" s="338" customFormat="1">
      <c r="G4537" s="340"/>
      <c r="L4537" s="340"/>
      <c r="P4537" s="340"/>
      <c r="U4537" s="340"/>
      <c r="V4537" s="340"/>
      <c r="Z4537" s="340"/>
      <c r="AE4537" s="340"/>
      <c r="AI4537" s="340"/>
      <c r="AN4537" s="340"/>
      <c r="AO4537" s="340"/>
      <c r="AS4537" s="340"/>
      <c r="AX4537" s="340"/>
      <c r="BB4537" s="340"/>
      <c r="BD4537" s="339"/>
    </row>
    <row r="4538" spans="7:56" s="338" customFormat="1">
      <c r="G4538" s="340"/>
      <c r="L4538" s="340"/>
      <c r="P4538" s="340"/>
      <c r="U4538" s="340"/>
      <c r="V4538" s="340"/>
      <c r="Z4538" s="340"/>
      <c r="AE4538" s="340"/>
      <c r="AI4538" s="340"/>
      <c r="AN4538" s="340"/>
      <c r="AO4538" s="340"/>
      <c r="AS4538" s="340"/>
      <c r="AX4538" s="340"/>
      <c r="BB4538" s="340"/>
      <c r="BD4538" s="339"/>
    </row>
    <row r="4539" spans="7:56" s="338" customFormat="1">
      <c r="G4539" s="340"/>
      <c r="L4539" s="340"/>
      <c r="P4539" s="340"/>
      <c r="U4539" s="340"/>
      <c r="V4539" s="340"/>
      <c r="Z4539" s="340"/>
      <c r="AE4539" s="340"/>
      <c r="AI4539" s="340"/>
      <c r="AN4539" s="340"/>
      <c r="AO4539" s="340"/>
      <c r="AS4539" s="340"/>
      <c r="AX4539" s="340"/>
      <c r="BB4539" s="340"/>
      <c r="BD4539" s="339"/>
    </row>
    <row r="4540" spans="7:56" s="338" customFormat="1">
      <c r="G4540" s="340"/>
      <c r="L4540" s="340"/>
      <c r="P4540" s="340"/>
      <c r="U4540" s="340"/>
      <c r="V4540" s="340"/>
      <c r="Z4540" s="340"/>
      <c r="AE4540" s="340"/>
      <c r="AI4540" s="340"/>
      <c r="AN4540" s="340"/>
      <c r="AO4540" s="340"/>
      <c r="AS4540" s="340"/>
      <c r="AX4540" s="340"/>
      <c r="BB4540" s="340"/>
      <c r="BD4540" s="339"/>
    </row>
    <row r="4541" spans="7:56" s="338" customFormat="1">
      <c r="G4541" s="340"/>
      <c r="L4541" s="340"/>
      <c r="P4541" s="340"/>
      <c r="U4541" s="340"/>
      <c r="V4541" s="340"/>
      <c r="Z4541" s="340"/>
      <c r="AE4541" s="340"/>
      <c r="AI4541" s="340"/>
      <c r="AN4541" s="340"/>
      <c r="AO4541" s="340"/>
      <c r="AS4541" s="340"/>
      <c r="AX4541" s="340"/>
      <c r="BB4541" s="340"/>
      <c r="BD4541" s="339"/>
    </row>
    <row r="4542" spans="7:56" s="338" customFormat="1">
      <c r="G4542" s="340"/>
      <c r="L4542" s="340"/>
      <c r="P4542" s="340"/>
      <c r="U4542" s="340"/>
      <c r="V4542" s="340"/>
      <c r="Z4542" s="340"/>
      <c r="AE4542" s="340"/>
      <c r="AI4542" s="340"/>
      <c r="AN4542" s="340"/>
      <c r="AO4542" s="340"/>
      <c r="AS4542" s="340"/>
      <c r="AX4542" s="340"/>
      <c r="BB4542" s="340"/>
      <c r="BD4542" s="339"/>
    </row>
    <row r="4543" spans="7:56" s="338" customFormat="1">
      <c r="G4543" s="340"/>
      <c r="L4543" s="340"/>
      <c r="P4543" s="340"/>
      <c r="U4543" s="340"/>
      <c r="V4543" s="340"/>
      <c r="Z4543" s="340"/>
      <c r="AE4543" s="340"/>
      <c r="AI4543" s="340"/>
      <c r="AN4543" s="340"/>
      <c r="AO4543" s="340"/>
      <c r="AS4543" s="340"/>
      <c r="AX4543" s="340"/>
      <c r="BB4543" s="340"/>
      <c r="BD4543" s="339"/>
    </row>
    <row r="4544" spans="7:56" s="338" customFormat="1">
      <c r="G4544" s="340"/>
      <c r="L4544" s="340"/>
      <c r="P4544" s="340"/>
      <c r="U4544" s="340"/>
      <c r="V4544" s="340"/>
      <c r="Z4544" s="340"/>
      <c r="AE4544" s="340"/>
      <c r="AI4544" s="340"/>
      <c r="AN4544" s="340"/>
      <c r="AO4544" s="340"/>
      <c r="AS4544" s="340"/>
      <c r="AX4544" s="340"/>
      <c r="BB4544" s="340"/>
      <c r="BD4544" s="339"/>
    </row>
    <row r="4545" spans="7:56" s="338" customFormat="1">
      <c r="G4545" s="340"/>
      <c r="L4545" s="340"/>
      <c r="P4545" s="340"/>
      <c r="U4545" s="340"/>
      <c r="V4545" s="340"/>
      <c r="Z4545" s="340"/>
      <c r="AE4545" s="340"/>
      <c r="AI4545" s="340"/>
      <c r="AN4545" s="340"/>
      <c r="AO4545" s="340"/>
      <c r="AS4545" s="340"/>
      <c r="AX4545" s="340"/>
      <c r="BB4545" s="340"/>
      <c r="BD4545" s="339"/>
    </row>
    <row r="4546" spans="7:56" s="338" customFormat="1">
      <c r="G4546" s="340"/>
      <c r="L4546" s="340"/>
      <c r="P4546" s="340"/>
      <c r="U4546" s="340"/>
      <c r="V4546" s="340"/>
      <c r="Z4546" s="340"/>
      <c r="AE4546" s="340"/>
      <c r="AI4546" s="340"/>
      <c r="AN4546" s="340"/>
      <c r="AO4546" s="340"/>
      <c r="AS4546" s="340"/>
      <c r="AX4546" s="340"/>
      <c r="BB4546" s="340"/>
      <c r="BD4546" s="339"/>
    </row>
    <row r="4547" spans="7:56" s="338" customFormat="1">
      <c r="G4547" s="340"/>
      <c r="L4547" s="340"/>
      <c r="P4547" s="340"/>
      <c r="U4547" s="340"/>
      <c r="V4547" s="340"/>
      <c r="Z4547" s="340"/>
      <c r="AE4547" s="340"/>
      <c r="AI4547" s="340"/>
      <c r="AN4547" s="340"/>
      <c r="AO4547" s="340"/>
      <c r="AS4547" s="340"/>
      <c r="AX4547" s="340"/>
      <c r="BB4547" s="340"/>
      <c r="BD4547" s="339"/>
    </row>
    <row r="4548" spans="7:56" s="338" customFormat="1">
      <c r="G4548" s="340"/>
      <c r="L4548" s="340"/>
      <c r="P4548" s="340"/>
      <c r="U4548" s="340"/>
      <c r="V4548" s="340"/>
      <c r="Z4548" s="340"/>
      <c r="AE4548" s="340"/>
      <c r="AI4548" s="340"/>
      <c r="AN4548" s="340"/>
      <c r="AO4548" s="340"/>
      <c r="AS4548" s="340"/>
      <c r="AX4548" s="340"/>
      <c r="BB4548" s="340"/>
      <c r="BD4548" s="339"/>
    </row>
    <row r="4549" spans="7:56" s="338" customFormat="1">
      <c r="G4549" s="340"/>
      <c r="L4549" s="340"/>
      <c r="P4549" s="340"/>
      <c r="U4549" s="340"/>
      <c r="V4549" s="340"/>
      <c r="Z4549" s="340"/>
      <c r="AE4549" s="340"/>
      <c r="AI4549" s="340"/>
      <c r="AN4549" s="340"/>
      <c r="AO4549" s="340"/>
      <c r="AS4549" s="340"/>
      <c r="AX4549" s="340"/>
      <c r="BB4549" s="340"/>
      <c r="BD4549" s="339"/>
    </row>
    <row r="4550" spans="7:56" s="338" customFormat="1">
      <c r="G4550" s="340"/>
      <c r="L4550" s="340"/>
      <c r="P4550" s="340"/>
      <c r="U4550" s="340"/>
      <c r="V4550" s="340"/>
      <c r="Z4550" s="340"/>
      <c r="AE4550" s="340"/>
      <c r="AI4550" s="340"/>
      <c r="AN4550" s="340"/>
      <c r="AO4550" s="340"/>
      <c r="AS4550" s="340"/>
      <c r="AX4550" s="340"/>
      <c r="BB4550" s="340"/>
      <c r="BD4550" s="339"/>
    </row>
    <row r="4551" spans="7:56" s="338" customFormat="1">
      <c r="G4551" s="340"/>
      <c r="L4551" s="340"/>
      <c r="P4551" s="340"/>
      <c r="U4551" s="340"/>
      <c r="V4551" s="340"/>
      <c r="Z4551" s="340"/>
      <c r="AE4551" s="340"/>
      <c r="AI4551" s="340"/>
      <c r="AN4551" s="340"/>
      <c r="AO4551" s="340"/>
      <c r="AS4551" s="340"/>
      <c r="AX4551" s="340"/>
      <c r="BB4551" s="340"/>
      <c r="BD4551" s="339"/>
    </row>
    <row r="4552" spans="7:56" s="338" customFormat="1">
      <c r="G4552" s="340"/>
      <c r="L4552" s="340"/>
      <c r="P4552" s="340"/>
      <c r="U4552" s="340"/>
      <c r="V4552" s="340"/>
      <c r="Z4552" s="340"/>
      <c r="AE4552" s="340"/>
      <c r="AI4552" s="340"/>
      <c r="AN4552" s="340"/>
      <c r="AO4552" s="340"/>
      <c r="AS4552" s="340"/>
      <c r="AX4552" s="340"/>
      <c r="BB4552" s="340"/>
      <c r="BD4552" s="339"/>
    </row>
    <row r="4553" spans="7:56" s="338" customFormat="1">
      <c r="G4553" s="340"/>
      <c r="L4553" s="340"/>
      <c r="P4553" s="340"/>
      <c r="U4553" s="340"/>
      <c r="V4553" s="340"/>
      <c r="Z4553" s="340"/>
      <c r="AE4553" s="340"/>
      <c r="AI4553" s="340"/>
      <c r="AN4553" s="340"/>
      <c r="AO4553" s="340"/>
      <c r="AS4553" s="340"/>
      <c r="AX4553" s="340"/>
      <c r="BB4553" s="340"/>
      <c r="BD4553" s="339"/>
    </row>
    <row r="4554" spans="7:56" s="338" customFormat="1">
      <c r="G4554" s="340"/>
      <c r="L4554" s="340"/>
      <c r="P4554" s="340"/>
      <c r="U4554" s="340"/>
      <c r="V4554" s="340"/>
      <c r="Z4554" s="340"/>
      <c r="AE4554" s="340"/>
      <c r="AI4554" s="340"/>
      <c r="AN4554" s="340"/>
      <c r="AO4554" s="340"/>
      <c r="AS4554" s="340"/>
      <c r="AX4554" s="340"/>
      <c r="BB4554" s="340"/>
      <c r="BD4554" s="339"/>
    </row>
    <row r="4555" spans="7:56" s="338" customFormat="1">
      <c r="G4555" s="340"/>
      <c r="L4555" s="340"/>
      <c r="P4555" s="340"/>
      <c r="U4555" s="340"/>
      <c r="V4555" s="340"/>
      <c r="Z4555" s="340"/>
      <c r="AE4555" s="340"/>
      <c r="AI4555" s="340"/>
      <c r="AN4555" s="340"/>
      <c r="AO4555" s="340"/>
      <c r="AS4555" s="340"/>
      <c r="AX4555" s="340"/>
      <c r="BB4555" s="340"/>
      <c r="BD4555" s="339"/>
    </row>
    <row r="4556" spans="7:56" s="338" customFormat="1">
      <c r="G4556" s="340"/>
      <c r="L4556" s="340"/>
      <c r="P4556" s="340"/>
      <c r="U4556" s="340"/>
      <c r="V4556" s="340"/>
      <c r="Z4556" s="340"/>
      <c r="AE4556" s="340"/>
      <c r="AI4556" s="340"/>
      <c r="AN4556" s="340"/>
      <c r="AO4556" s="340"/>
      <c r="AS4556" s="340"/>
      <c r="AX4556" s="340"/>
      <c r="BB4556" s="340"/>
      <c r="BD4556" s="339"/>
    </row>
    <row r="4557" spans="7:56" s="338" customFormat="1">
      <c r="G4557" s="340"/>
      <c r="L4557" s="340"/>
      <c r="P4557" s="340"/>
      <c r="U4557" s="340"/>
      <c r="V4557" s="340"/>
      <c r="Z4557" s="340"/>
      <c r="AE4557" s="340"/>
      <c r="AI4557" s="340"/>
      <c r="AN4557" s="340"/>
      <c r="AO4557" s="340"/>
      <c r="AS4557" s="340"/>
      <c r="AX4557" s="340"/>
      <c r="BB4557" s="340"/>
      <c r="BD4557" s="339"/>
    </row>
    <row r="4558" spans="7:56" s="338" customFormat="1">
      <c r="G4558" s="340"/>
      <c r="L4558" s="340"/>
      <c r="P4558" s="340"/>
      <c r="U4558" s="340"/>
      <c r="V4558" s="340"/>
      <c r="Z4558" s="340"/>
      <c r="AE4558" s="340"/>
      <c r="AI4558" s="340"/>
      <c r="AN4558" s="340"/>
      <c r="AO4558" s="340"/>
      <c r="AS4558" s="340"/>
      <c r="AX4558" s="340"/>
      <c r="BB4558" s="340"/>
      <c r="BD4558" s="339"/>
    </row>
    <row r="4559" spans="7:56" s="338" customFormat="1">
      <c r="G4559" s="340"/>
      <c r="L4559" s="340"/>
      <c r="P4559" s="340"/>
      <c r="U4559" s="340"/>
      <c r="V4559" s="340"/>
      <c r="Z4559" s="340"/>
      <c r="AE4559" s="340"/>
      <c r="AI4559" s="340"/>
      <c r="AN4559" s="340"/>
      <c r="AO4559" s="340"/>
      <c r="AS4559" s="340"/>
      <c r="AX4559" s="340"/>
      <c r="BB4559" s="340"/>
      <c r="BD4559" s="339"/>
    </row>
    <row r="4560" spans="7:56" s="338" customFormat="1">
      <c r="G4560" s="340"/>
      <c r="L4560" s="340"/>
      <c r="P4560" s="340"/>
      <c r="U4560" s="340"/>
      <c r="V4560" s="340"/>
      <c r="Z4560" s="340"/>
      <c r="AE4560" s="340"/>
      <c r="AI4560" s="340"/>
      <c r="AN4560" s="340"/>
      <c r="AO4560" s="340"/>
      <c r="AS4560" s="340"/>
      <c r="AX4560" s="340"/>
      <c r="BB4560" s="340"/>
      <c r="BD4560" s="339"/>
    </row>
    <row r="4561" spans="7:56" s="338" customFormat="1">
      <c r="G4561" s="340"/>
      <c r="L4561" s="340"/>
      <c r="P4561" s="340"/>
      <c r="U4561" s="340"/>
      <c r="V4561" s="340"/>
      <c r="Z4561" s="340"/>
      <c r="AE4561" s="340"/>
      <c r="AI4561" s="340"/>
      <c r="AN4561" s="340"/>
      <c r="AO4561" s="340"/>
      <c r="AS4561" s="340"/>
      <c r="AX4561" s="340"/>
      <c r="BB4561" s="340"/>
      <c r="BD4561" s="339"/>
    </row>
    <row r="4562" spans="7:56" s="338" customFormat="1">
      <c r="G4562" s="340"/>
      <c r="L4562" s="340"/>
      <c r="P4562" s="340"/>
      <c r="U4562" s="340"/>
      <c r="V4562" s="340"/>
      <c r="Z4562" s="340"/>
      <c r="AE4562" s="340"/>
      <c r="AI4562" s="340"/>
      <c r="AN4562" s="340"/>
      <c r="AO4562" s="340"/>
      <c r="AS4562" s="340"/>
      <c r="AX4562" s="340"/>
      <c r="BB4562" s="340"/>
      <c r="BD4562" s="339"/>
    </row>
    <row r="4563" spans="7:56" s="338" customFormat="1">
      <c r="G4563" s="340"/>
      <c r="L4563" s="340"/>
      <c r="P4563" s="340"/>
      <c r="U4563" s="340"/>
      <c r="V4563" s="340"/>
      <c r="Z4563" s="340"/>
      <c r="AE4563" s="340"/>
      <c r="AI4563" s="340"/>
      <c r="AN4563" s="340"/>
      <c r="AO4563" s="340"/>
      <c r="AS4563" s="340"/>
      <c r="AX4563" s="340"/>
      <c r="BB4563" s="340"/>
      <c r="BD4563" s="339"/>
    </row>
    <row r="4564" spans="7:56" s="338" customFormat="1">
      <c r="G4564" s="340"/>
      <c r="L4564" s="340"/>
      <c r="P4564" s="340"/>
      <c r="U4564" s="340"/>
      <c r="V4564" s="340"/>
      <c r="Z4564" s="340"/>
      <c r="AE4564" s="340"/>
      <c r="AI4564" s="340"/>
      <c r="AN4564" s="340"/>
      <c r="AO4564" s="340"/>
      <c r="AS4564" s="340"/>
      <c r="AX4564" s="340"/>
      <c r="BB4564" s="340"/>
      <c r="BD4564" s="339"/>
    </row>
    <row r="4565" spans="7:56" s="338" customFormat="1">
      <c r="G4565" s="340"/>
      <c r="L4565" s="340"/>
      <c r="P4565" s="340"/>
      <c r="U4565" s="340"/>
      <c r="V4565" s="340"/>
      <c r="Z4565" s="340"/>
      <c r="AE4565" s="340"/>
      <c r="AI4565" s="340"/>
      <c r="AN4565" s="340"/>
      <c r="AO4565" s="340"/>
      <c r="AS4565" s="340"/>
      <c r="AX4565" s="340"/>
      <c r="BB4565" s="340"/>
      <c r="BD4565" s="339"/>
    </row>
    <row r="4566" spans="7:56" s="338" customFormat="1">
      <c r="G4566" s="340"/>
      <c r="L4566" s="340"/>
      <c r="P4566" s="340"/>
      <c r="U4566" s="340"/>
      <c r="V4566" s="340"/>
      <c r="Z4566" s="340"/>
      <c r="AE4566" s="340"/>
      <c r="AI4566" s="340"/>
      <c r="AN4566" s="340"/>
      <c r="AO4566" s="340"/>
      <c r="AS4566" s="340"/>
      <c r="AX4566" s="340"/>
      <c r="BB4566" s="340"/>
      <c r="BD4566" s="339"/>
    </row>
    <row r="4567" spans="7:56" s="338" customFormat="1">
      <c r="G4567" s="340"/>
      <c r="L4567" s="340"/>
      <c r="P4567" s="340"/>
      <c r="U4567" s="340"/>
      <c r="V4567" s="340"/>
      <c r="Z4567" s="340"/>
      <c r="AE4567" s="340"/>
      <c r="AI4567" s="340"/>
      <c r="AN4567" s="340"/>
      <c r="AO4567" s="340"/>
      <c r="AS4567" s="340"/>
      <c r="AX4567" s="340"/>
      <c r="BB4567" s="340"/>
      <c r="BD4567" s="339"/>
    </row>
    <row r="4568" spans="7:56" s="338" customFormat="1">
      <c r="G4568" s="340"/>
      <c r="L4568" s="340"/>
      <c r="P4568" s="340"/>
      <c r="U4568" s="340"/>
      <c r="V4568" s="340"/>
      <c r="Z4568" s="340"/>
      <c r="AE4568" s="340"/>
      <c r="AI4568" s="340"/>
      <c r="AN4568" s="340"/>
      <c r="AO4568" s="340"/>
      <c r="AS4568" s="340"/>
      <c r="AX4568" s="340"/>
      <c r="BB4568" s="340"/>
      <c r="BD4568" s="339"/>
    </row>
    <row r="4569" spans="7:56" s="338" customFormat="1">
      <c r="G4569" s="340"/>
      <c r="L4569" s="340"/>
      <c r="P4569" s="340"/>
      <c r="U4569" s="340"/>
      <c r="V4569" s="340"/>
      <c r="Z4569" s="340"/>
      <c r="AE4569" s="340"/>
      <c r="AI4569" s="340"/>
      <c r="AN4569" s="340"/>
      <c r="AO4569" s="340"/>
      <c r="AS4569" s="340"/>
      <c r="AX4569" s="340"/>
      <c r="BB4569" s="340"/>
      <c r="BD4569" s="339"/>
    </row>
    <row r="4570" spans="7:56" s="338" customFormat="1">
      <c r="G4570" s="340"/>
      <c r="L4570" s="340"/>
      <c r="P4570" s="340"/>
      <c r="U4570" s="340"/>
      <c r="V4570" s="340"/>
      <c r="Z4570" s="340"/>
      <c r="AE4570" s="340"/>
      <c r="AI4570" s="340"/>
      <c r="AN4570" s="340"/>
      <c r="AO4570" s="340"/>
      <c r="AS4570" s="340"/>
      <c r="AX4570" s="340"/>
      <c r="BB4570" s="340"/>
      <c r="BD4570" s="339"/>
    </row>
    <row r="4571" spans="7:56" s="338" customFormat="1">
      <c r="G4571" s="340"/>
      <c r="L4571" s="340"/>
      <c r="P4571" s="340"/>
      <c r="U4571" s="340"/>
      <c r="V4571" s="340"/>
      <c r="Z4571" s="340"/>
      <c r="AE4571" s="340"/>
      <c r="AI4571" s="340"/>
      <c r="AN4571" s="340"/>
      <c r="AO4571" s="340"/>
      <c r="AS4571" s="340"/>
      <c r="AX4571" s="340"/>
      <c r="BB4571" s="340"/>
      <c r="BD4571" s="339"/>
    </row>
    <row r="4572" spans="7:56" s="338" customFormat="1">
      <c r="G4572" s="340"/>
      <c r="L4572" s="340"/>
      <c r="P4572" s="340"/>
      <c r="U4572" s="340"/>
      <c r="V4572" s="340"/>
      <c r="Z4572" s="340"/>
      <c r="AE4572" s="340"/>
      <c r="AI4572" s="340"/>
      <c r="AN4572" s="340"/>
      <c r="AO4572" s="340"/>
      <c r="AS4572" s="340"/>
      <c r="AX4572" s="340"/>
      <c r="BB4572" s="340"/>
      <c r="BD4572" s="339"/>
    </row>
    <row r="4573" spans="7:56" s="338" customFormat="1">
      <c r="G4573" s="340"/>
      <c r="L4573" s="340"/>
      <c r="P4573" s="340"/>
      <c r="U4573" s="340"/>
      <c r="V4573" s="340"/>
      <c r="Z4573" s="340"/>
      <c r="AE4573" s="340"/>
      <c r="AI4573" s="340"/>
      <c r="AN4573" s="340"/>
      <c r="AO4573" s="340"/>
      <c r="AS4573" s="340"/>
      <c r="AX4573" s="340"/>
      <c r="BB4573" s="340"/>
      <c r="BD4573" s="339"/>
    </row>
    <row r="4574" spans="7:56" s="338" customFormat="1">
      <c r="G4574" s="340"/>
      <c r="L4574" s="340"/>
      <c r="P4574" s="340"/>
      <c r="U4574" s="340"/>
      <c r="V4574" s="340"/>
      <c r="Z4574" s="340"/>
      <c r="AE4574" s="340"/>
      <c r="AI4574" s="340"/>
      <c r="AN4574" s="340"/>
      <c r="AO4574" s="340"/>
      <c r="AS4574" s="340"/>
      <c r="AX4574" s="340"/>
      <c r="BB4574" s="340"/>
      <c r="BD4574" s="339"/>
    </row>
    <row r="4575" spans="7:56" s="338" customFormat="1">
      <c r="G4575" s="340"/>
      <c r="L4575" s="340"/>
      <c r="P4575" s="340"/>
      <c r="U4575" s="340"/>
      <c r="V4575" s="340"/>
      <c r="Z4575" s="340"/>
      <c r="AE4575" s="340"/>
      <c r="AI4575" s="340"/>
      <c r="AN4575" s="340"/>
      <c r="AO4575" s="340"/>
      <c r="AS4575" s="340"/>
      <c r="AX4575" s="340"/>
      <c r="BB4575" s="340"/>
      <c r="BD4575" s="339"/>
    </row>
    <row r="4576" spans="7:56" s="338" customFormat="1">
      <c r="G4576" s="340"/>
      <c r="L4576" s="340"/>
      <c r="P4576" s="340"/>
      <c r="U4576" s="340"/>
      <c r="V4576" s="340"/>
      <c r="Z4576" s="340"/>
      <c r="AE4576" s="340"/>
      <c r="AI4576" s="340"/>
      <c r="AN4576" s="340"/>
      <c r="AO4576" s="340"/>
      <c r="AS4576" s="340"/>
      <c r="AX4576" s="340"/>
      <c r="BB4576" s="340"/>
      <c r="BD4576" s="339"/>
    </row>
    <row r="4577" spans="7:56" s="338" customFormat="1">
      <c r="G4577" s="340"/>
      <c r="L4577" s="340"/>
      <c r="P4577" s="340"/>
      <c r="U4577" s="340"/>
      <c r="V4577" s="340"/>
      <c r="Z4577" s="340"/>
      <c r="AE4577" s="340"/>
      <c r="AI4577" s="340"/>
      <c r="AN4577" s="340"/>
      <c r="AO4577" s="340"/>
      <c r="AS4577" s="340"/>
      <c r="AX4577" s="340"/>
      <c r="BB4577" s="340"/>
      <c r="BD4577" s="339"/>
    </row>
    <row r="4578" spans="7:56" s="338" customFormat="1">
      <c r="G4578" s="340"/>
      <c r="L4578" s="340"/>
      <c r="P4578" s="340"/>
      <c r="U4578" s="340"/>
      <c r="V4578" s="340"/>
      <c r="Z4578" s="340"/>
      <c r="AE4578" s="340"/>
      <c r="AI4578" s="340"/>
      <c r="AN4578" s="340"/>
      <c r="AO4578" s="340"/>
      <c r="AS4578" s="340"/>
      <c r="AX4578" s="340"/>
      <c r="BB4578" s="340"/>
      <c r="BD4578" s="339"/>
    </row>
    <row r="4579" spans="7:56" s="338" customFormat="1">
      <c r="G4579" s="340"/>
      <c r="L4579" s="340"/>
      <c r="P4579" s="340"/>
      <c r="U4579" s="340"/>
      <c r="V4579" s="340"/>
      <c r="Z4579" s="340"/>
      <c r="AE4579" s="340"/>
      <c r="AI4579" s="340"/>
      <c r="AN4579" s="340"/>
      <c r="AO4579" s="340"/>
      <c r="AS4579" s="340"/>
      <c r="AX4579" s="340"/>
      <c r="BB4579" s="340"/>
      <c r="BD4579" s="339"/>
    </row>
    <row r="4580" spans="7:56" s="338" customFormat="1">
      <c r="G4580" s="340"/>
      <c r="L4580" s="340"/>
      <c r="P4580" s="340"/>
      <c r="U4580" s="340"/>
      <c r="V4580" s="340"/>
      <c r="Z4580" s="340"/>
      <c r="AE4580" s="340"/>
      <c r="AI4580" s="340"/>
      <c r="AN4580" s="340"/>
      <c r="AO4580" s="340"/>
      <c r="AS4580" s="340"/>
      <c r="AX4580" s="340"/>
      <c r="BB4580" s="340"/>
      <c r="BD4580" s="339"/>
    </row>
    <row r="4581" spans="7:56" s="338" customFormat="1">
      <c r="G4581" s="340"/>
      <c r="L4581" s="340"/>
      <c r="P4581" s="340"/>
      <c r="U4581" s="340"/>
      <c r="V4581" s="340"/>
      <c r="Z4581" s="340"/>
      <c r="AE4581" s="340"/>
      <c r="AI4581" s="340"/>
      <c r="AN4581" s="340"/>
      <c r="AO4581" s="340"/>
      <c r="AS4581" s="340"/>
      <c r="AX4581" s="340"/>
      <c r="BB4581" s="340"/>
      <c r="BD4581" s="339"/>
    </row>
    <row r="4582" spans="7:56" s="338" customFormat="1">
      <c r="G4582" s="340"/>
      <c r="L4582" s="340"/>
      <c r="P4582" s="340"/>
      <c r="U4582" s="340"/>
      <c r="V4582" s="340"/>
      <c r="Z4582" s="340"/>
      <c r="AE4582" s="340"/>
      <c r="AI4582" s="340"/>
      <c r="AN4582" s="340"/>
      <c r="AO4582" s="340"/>
      <c r="AS4582" s="340"/>
      <c r="AX4582" s="340"/>
      <c r="BB4582" s="340"/>
      <c r="BD4582" s="339"/>
    </row>
    <row r="4583" spans="7:56" s="338" customFormat="1">
      <c r="G4583" s="340"/>
      <c r="L4583" s="340"/>
      <c r="P4583" s="340"/>
      <c r="U4583" s="340"/>
      <c r="V4583" s="340"/>
      <c r="Z4583" s="340"/>
      <c r="AE4583" s="340"/>
      <c r="AI4583" s="340"/>
      <c r="AN4583" s="340"/>
      <c r="AO4583" s="340"/>
      <c r="AS4583" s="340"/>
      <c r="AX4583" s="340"/>
      <c r="BB4583" s="340"/>
      <c r="BD4583" s="339"/>
    </row>
    <row r="4584" spans="7:56" s="338" customFormat="1">
      <c r="G4584" s="340"/>
      <c r="L4584" s="340"/>
      <c r="P4584" s="340"/>
      <c r="U4584" s="340"/>
      <c r="V4584" s="340"/>
      <c r="Z4584" s="340"/>
      <c r="AE4584" s="340"/>
      <c r="AI4584" s="340"/>
      <c r="AN4584" s="340"/>
      <c r="AO4584" s="340"/>
      <c r="AS4584" s="340"/>
      <c r="AX4584" s="340"/>
      <c r="BB4584" s="340"/>
      <c r="BD4584" s="339"/>
    </row>
    <row r="4585" spans="7:56" s="338" customFormat="1">
      <c r="G4585" s="340"/>
      <c r="L4585" s="340"/>
      <c r="P4585" s="340"/>
      <c r="U4585" s="340"/>
      <c r="V4585" s="340"/>
      <c r="Z4585" s="340"/>
      <c r="AE4585" s="340"/>
      <c r="AI4585" s="340"/>
      <c r="AN4585" s="340"/>
      <c r="AO4585" s="340"/>
      <c r="AS4585" s="340"/>
      <c r="AX4585" s="340"/>
      <c r="BB4585" s="340"/>
      <c r="BD4585" s="339"/>
    </row>
    <row r="4586" spans="7:56" s="338" customFormat="1">
      <c r="G4586" s="340"/>
      <c r="L4586" s="340"/>
      <c r="P4586" s="340"/>
      <c r="U4586" s="340"/>
      <c r="V4586" s="340"/>
      <c r="Z4586" s="340"/>
      <c r="AE4586" s="340"/>
      <c r="AI4586" s="340"/>
      <c r="AN4586" s="340"/>
      <c r="AO4586" s="340"/>
      <c r="AS4586" s="340"/>
      <c r="AX4586" s="340"/>
      <c r="BB4586" s="340"/>
      <c r="BD4586" s="339"/>
    </row>
    <row r="4587" spans="7:56" s="338" customFormat="1">
      <c r="G4587" s="340"/>
      <c r="L4587" s="340"/>
      <c r="P4587" s="340"/>
      <c r="U4587" s="340"/>
      <c r="V4587" s="340"/>
      <c r="Z4587" s="340"/>
      <c r="AE4587" s="340"/>
      <c r="AI4587" s="340"/>
      <c r="AN4587" s="340"/>
      <c r="AO4587" s="340"/>
      <c r="AS4587" s="340"/>
      <c r="AX4587" s="340"/>
      <c r="BB4587" s="340"/>
      <c r="BD4587" s="339"/>
    </row>
    <row r="4588" spans="7:56" s="338" customFormat="1">
      <c r="G4588" s="340"/>
      <c r="L4588" s="340"/>
      <c r="P4588" s="340"/>
      <c r="U4588" s="340"/>
      <c r="V4588" s="340"/>
      <c r="Z4588" s="340"/>
      <c r="AE4588" s="340"/>
      <c r="AI4588" s="340"/>
      <c r="AN4588" s="340"/>
      <c r="AO4588" s="340"/>
      <c r="AS4588" s="340"/>
      <c r="AX4588" s="340"/>
      <c r="BB4588" s="340"/>
      <c r="BD4588" s="339"/>
    </row>
    <row r="4589" spans="7:56" s="338" customFormat="1">
      <c r="G4589" s="340"/>
      <c r="L4589" s="340"/>
      <c r="P4589" s="340"/>
      <c r="U4589" s="340"/>
      <c r="V4589" s="340"/>
      <c r="Z4589" s="340"/>
      <c r="AE4589" s="340"/>
      <c r="AI4589" s="340"/>
      <c r="AN4589" s="340"/>
      <c r="AO4589" s="340"/>
      <c r="AS4589" s="340"/>
      <c r="AX4589" s="340"/>
      <c r="BB4589" s="340"/>
      <c r="BD4589" s="339"/>
    </row>
    <row r="4590" spans="7:56" s="338" customFormat="1">
      <c r="G4590" s="340"/>
      <c r="L4590" s="340"/>
      <c r="P4590" s="340"/>
      <c r="U4590" s="340"/>
      <c r="V4590" s="340"/>
      <c r="Z4590" s="340"/>
      <c r="AE4590" s="340"/>
      <c r="AI4590" s="340"/>
      <c r="AN4590" s="340"/>
      <c r="AO4590" s="340"/>
      <c r="AS4590" s="340"/>
      <c r="AX4590" s="340"/>
      <c r="BB4590" s="340"/>
      <c r="BD4590" s="339"/>
    </row>
    <row r="4591" spans="7:56" s="338" customFormat="1">
      <c r="G4591" s="340"/>
      <c r="L4591" s="340"/>
      <c r="P4591" s="340"/>
      <c r="U4591" s="340"/>
      <c r="V4591" s="340"/>
      <c r="Z4591" s="340"/>
      <c r="AE4591" s="340"/>
      <c r="AI4591" s="340"/>
      <c r="AN4591" s="340"/>
      <c r="AO4591" s="340"/>
      <c r="AS4591" s="340"/>
      <c r="AX4591" s="340"/>
      <c r="BB4591" s="340"/>
      <c r="BD4591" s="339"/>
    </row>
    <row r="4592" spans="7:56" s="338" customFormat="1">
      <c r="G4592" s="340"/>
      <c r="L4592" s="340"/>
      <c r="P4592" s="340"/>
      <c r="U4592" s="340"/>
      <c r="V4592" s="340"/>
      <c r="Z4592" s="340"/>
      <c r="AE4592" s="340"/>
      <c r="AI4592" s="340"/>
      <c r="AN4592" s="340"/>
      <c r="AO4592" s="340"/>
      <c r="AS4592" s="340"/>
      <c r="AX4592" s="340"/>
      <c r="BB4592" s="340"/>
      <c r="BD4592" s="339"/>
    </row>
    <row r="4593" spans="7:56" s="338" customFormat="1">
      <c r="G4593" s="340"/>
      <c r="L4593" s="340"/>
      <c r="P4593" s="340"/>
      <c r="U4593" s="340"/>
      <c r="V4593" s="340"/>
      <c r="Z4593" s="340"/>
      <c r="AE4593" s="340"/>
      <c r="AI4593" s="340"/>
      <c r="AN4593" s="340"/>
      <c r="AO4593" s="340"/>
      <c r="AS4593" s="340"/>
      <c r="AX4593" s="340"/>
      <c r="BB4593" s="340"/>
      <c r="BD4593" s="339"/>
    </row>
    <row r="4594" spans="7:56" s="338" customFormat="1">
      <c r="G4594" s="340"/>
      <c r="L4594" s="340"/>
      <c r="P4594" s="340"/>
      <c r="U4594" s="340"/>
      <c r="V4594" s="340"/>
      <c r="Z4594" s="340"/>
      <c r="AE4594" s="340"/>
      <c r="AI4594" s="340"/>
      <c r="AN4594" s="340"/>
      <c r="AO4594" s="340"/>
      <c r="AS4594" s="340"/>
      <c r="AX4594" s="340"/>
      <c r="BB4594" s="340"/>
      <c r="BD4594" s="339"/>
    </row>
    <row r="4595" spans="7:56" s="338" customFormat="1">
      <c r="G4595" s="340"/>
      <c r="L4595" s="340"/>
      <c r="P4595" s="340"/>
      <c r="U4595" s="340"/>
      <c r="V4595" s="340"/>
      <c r="Z4595" s="340"/>
      <c r="AE4595" s="340"/>
      <c r="AI4595" s="340"/>
      <c r="AN4595" s="340"/>
      <c r="AO4595" s="340"/>
      <c r="AS4595" s="340"/>
      <c r="AX4595" s="340"/>
      <c r="BB4595" s="340"/>
      <c r="BD4595" s="339"/>
    </row>
    <row r="4596" spans="7:56" s="338" customFormat="1">
      <c r="G4596" s="340"/>
      <c r="L4596" s="340"/>
      <c r="P4596" s="340"/>
      <c r="U4596" s="340"/>
      <c r="V4596" s="340"/>
      <c r="Z4596" s="340"/>
      <c r="AE4596" s="340"/>
      <c r="AI4596" s="340"/>
      <c r="AN4596" s="340"/>
      <c r="AO4596" s="340"/>
      <c r="AS4596" s="340"/>
      <c r="AX4596" s="340"/>
      <c r="BB4596" s="340"/>
      <c r="BD4596" s="339"/>
    </row>
    <row r="4597" spans="7:56" s="338" customFormat="1">
      <c r="G4597" s="340"/>
      <c r="L4597" s="340"/>
      <c r="P4597" s="340"/>
      <c r="U4597" s="340"/>
      <c r="V4597" s="340"/>
      <c r="Z4597" s="340"/>
      <c r="AE4597" s="340"/>
      <c r="AI4597" s="340"/>
      <c r="AN4597" s="340"/>
      <c r="AO4597" s="340"/>
      <c r="AS4597" s="340"/>
      <c r="AX4597" s="340"/>
      <c r="BB4597" s="340"/>
      <c r="BD4597" s="339"/>
    </row>
    <row r="4598" spans="7:56" s="338" customFormat="1">
      <c r="G4598" s="340"/>
      <c r="L4598" s="340"/>
      <c r="P4598" s="340"/>
      <c r="U4598" s="340"/>
      <c r="V4598" s="340"/>
      <c r="Z4598" s="340"/>
      <c r="AE4598" s="340"/>
      <c r="AI4598" s="340"/>
      <c r="AN4598" s="340"/>
      <c r="AO4598" s="340"/>
      <c r="AS4598" s="340"/>
      <c r="AX4598" s="340"/>
      <c r="BB4598" s="340"/>
      <c r="BD4598" s="339"/>
    </row>
    <row r="4599" spans="7:56" s="338" customFormat="1">
      <c r="G4599" s="340"/>
      <c r="L4599" s="340"/>
      <c r="P4599" s="340"/>
      <c r="U4599" s="340"/>
      <c r="V4599" s="340"/>
      <c r="Z4599" s="340"/>
      <c r="AE4599" s="340"/>
      <c r="AI4599" s="340"/>
      <c r="AN4599" s="340"/>
      <c r="AO4599" s="340"/>
      <c r="AS4599" s="340"/>
      <c r="AX4599" s="340"/>
      <c r="BB4599" s="340"/>
      <c r="BD4599" s="339"/>
    </row>
    <row r="4600" spans="7:56" s="338" customFormat="1">
      <c r="G4600" s="340"/>
      <c r="L4600" s="340"/>
      <c r="P4600" s="340"/>
      <c r="U4600" s="340"/>
      <c r="V4600" s="340"/>
      <c r="Z4600" s="340"/>
      <c r="AE4600" s="340"/>
      <c r="AI4600" s="340"/>
      <c r="AN4600" s="340"/>
      <c r="AO4600" s="340"/>
      <c r="AS4600" s="340"/>
      <c r="AX4600" s="340"/>
      <c r="BB4600" s="340"/>
      <c r="BD4600" s="339"/>
    </row>
    <row r="4601" spans="7:56" s="338" customFormat="1">
      <c r="G4601" s="340"/>
      <c r="L4601" s="340"/>
      <c r="P4601" s="340"/>
      <c r="U4601" s="340"/>
      <c r="V4601" s="340"/>
      <c r="Z4601" s="340"/>
      <c r="AE4601" s="340"/>
      <c r="AI4601" s="340"/>
      <c r="AN4601" s="340"/>
      <c r="AO4601" s="340"/>
      <c r="AS4601" s="340"/>
      <c r="AX4601" s="340"/>
      <c r="BB4601" s="340"/>
      <c r="BD4601" s="339"/>
    </row>
    <row r="4602" spans="7:56" s="338" customFormat="1">
      <c r="G4602" s="340"/>
      <c r="L4602" s="340"/>
      <c r="P4602" s="340"/>
      <c r="U4602" s="340"/>
      <c r="V4602" s="340"/>
      <c r="Z4602" s="340"/>
      <c r="AE4602" s="340"/>
      <c r="AI4602" s="340"/>
      <c r="AN4602" s="340"/>
      <c r="AO4602" s="340"/>
      <c r="AS4602" s="340"/>
      <c r="AX4602" s="340"/>
      <c r="BB4602" s="340"/>
      <c r="BD4602" s="339"/>
    </row>
    <row r="4603" spans="7:56" s="338" customFormat="1">
      <c r="G4603" s="340"/>
      <c r="L4603" s="340"/>
      <c r="P4603" s="340"/>
      <c r="U4603" s="340"/>
      <c r="V4603" s="340"/>
      <c r="Z4603" s="340"/>
      <c r="AE4603" s="340"/>
      <c r="AI4603" s="340"/>
      <c r="AN4603" s="340"/>
      <c r="AO4603" s="340"/>
      <c r="AS4603" s="340"/>
      <c r="AX4603" s="340"/>
      <c r="BB4603" s="340"/>
      <c r="BD4603" s="339"/>
    </row>
    <row r="4604" spans="7:56" s="338" customFormat="1">
      <c r="G4604" s="340"/>
      <c r="L4604" s="340"/>
      <c r="P4604" s="340"/>
      <c r="U4604" s="340"/>
      <c r="V4604" s="340"/>
      <c r="Z4604" s="340"/>
      <c r="AE4604" s="340"/>
      <c r="AI4604" s="340"/>
      <c r="AN4604" s="340"/>
      <c r="AO4604" s="340"/>
      <c r="AS4604" s="340"/>
      <c r="AX4604" s="340"/>
      <c r="BB4604" s="340"/>
      <c r="BD4604" s="339"/>
    </row>
    <row r="4605" spans="7:56" s="338" customFormat="1">
      <c r="G4605" s="340"/>
      <c r="L4605" s="340"/>
      <c r="P4605" s="340"/>
      <c r="U4605" s="340"/>
      <c r="V4605" s="340"/>
      <c r="Z4605" s="340"/>
      <c r="AE4605" s="340"/>
      <c r="AI4605" s="340"/>
      <c r="AN4605" s="340"/>
      <c r="AO4605" s="340"/>
      <c r="AS4605" s="340"/>
      <c r="AX4605" s="340"/>
      <c r="BB4605" s="340"/>
      <c r="BD4605" s="339"/>
    </row>
    <row r="4606" spans="7:56" s="338" customFormat="1">
      <c r="G4606" s="340"/>
      <c r="L4606" s="340"/>
      <c r="P4606" s="340"/>
      <c r="U4606" s="340"/>
      <c r="V4606" s="340"/>
      <c r="Z4606" s="340"/>
      <c r="AE4606" s="340"/>
      <c r="AI4606" s="340"/>
      <c r="AN4606" s="340"/>
      <c r="AO4606" s="340"/>
      <c r="AS4606" s="340"/>
      <c r="AX4606" s="340"/>
      <c r="BB4606" s="340"/>
      <c r="BD4606" s="339"/>
    </row>
    <row r="4607" spans="7:56" s="338" customFormat="1">
      <c r="G4607" s="340"/>
      <c r="L4607" s="340"/>
      <c r="P4607" s="340"/>
      <c r="U4607" s="340"/>
      <c r="V4607" s="340"/>
      <c r="Z4607" s="340"/>
      <c r="AE4607" s="340"/>
      <c r="AI4607" s="340"/>
      <c r="AN4607" s="340"/>
      <c r="AO4607" s="340"/>
      <c r="AS4607" s="340"/>
      <c r="AX4607" s="340"/>
      <c r="BB4607" s="340"/>
      <c r="BD4607" s="339"/>
    </row>
    <row r="4608" spans="7:56" s="338" customFormat="1">
      <c r="G4608" s="340"/>
      <c r="L4608" s="340"/>
      <c r="P4608" s="340"/>
      <c r="U4608" s="340"/>
      <c r="V4608" s="340"/>
      <c r="Z4608" s="340"/>
      <c r="AE4608" s="340"/>
      <c r="AI4608" s="340"/>
      <c r="AN4608" s="340"/>
      <c r="AO4608" s="340"/>
      <c r="AS4608" s="340"/>
      <c r="AX4608" s="340"/>
      <c r="BB4608" s="340"/>
      <c r="BD4608" s="339"/>
    </row>
    <row r="4609" spans="7:56" s="338" customFormat="1">
      <c r="G4609" s="340"/>
      <c r="L4609" s="340"/>
      <c r="P4609" s="340"/>
      <c r="U4609" s="340"/>
      <c r="V4609" s="340"/>
      <c r="Z4609" s="340"/>
      <c r="AE4609" s="340"/>
      <c r="AI4609" s="340"/>
      <c r="AN4609" s="340"/>
      <c r="AO4609" s="340"/>
      <c r="AS4609" s="340"/>
      <c r="AX4609" s="340"/>
      <c r="BB4609" s="340"/>
      <c r="BD4609" s="339"/>
    </row>
    <row r="4610" spans="7:56" s="338" customFormat="1">
      <c r="G4610" s="340"/>
      <c r="L4610" s="340"/>
      <c r="P4610" s="340"/>
      <c r="U4610" s="340"/>
      <c r="V4610" s="340"/>
      <c r="Z4610" s="340"/>
      <c r="AE4610" s="340"/>
      <c r="AI4610" s="340"/>
      <c r="AN4610" s="340"/>
      <c r="AO4610" s="340"/>
      <c r="AS4610" s="340"/>
      <c r="AX4610" s="340"/>
      <c r="BB4610" s="340"/>
      <c r="BD4610" s="339"/>
    </row>
    <row r="4611" spans="7:56" s="338" customFormat="1">
      <c r="G4611" s="340"/>
      <c r="L4611" s="340"/>
      <c r="P4611" s="340"/>
      <c r="U4611" s="340"/>
      <c r="V4611" s="340"/>
      <c r="Z4611" s="340"/>
      <c r="AE4611" s="340"/>
      <c r="AI4611" s="340"/>
      <c r="AN4611" s="340"/>
      <c r="AO4611" s="340"/>
      <c r="AS4611" s="340"/>
      <c r="AX4611" s="340"/>
      <c r="BB4611" s="340"/>
      <c r="BD4611" s="339"/>
    </row>
    <row r="4612" spans="7:56" s="338" customFormat="1">
      <c r="G4612" s="340"/>
      <c r="L4612" s="340"/>
      <c r="P4612" s="340"/>
      <c r="U4612" s="340"/>
      <c r="V4612" s="340"/>
      <c r="Z4612" s="340"/>
      <c r="AE4612" s="340"/>
      <c r="AI4612" s="340"/>
      <c r="AN4612" s="340"/>
      <c r="AO4612" s="340"/>
      <c r="AS4612" s="340"/>
      <c r="AX4612" s="340"/>
      <c r="BB4612" s="340"/>
      <c r="BD4612" s="339"/>
    </row>
    <row r="4613" spans="7:56" s="338" customFormat="1">
      <c r="G4613" s="340"/>
      <c r="L4613" s="340"/>
      <c r="P4613" s="340"/>
      <c r="U4613" s="340"/>
      <c r="V4613" s="340"/>
      <c r="Z4613" s="340"/>
      <c r="AE4613" s="340"/>
      <c r="AI4613" s="340"/>
      <c r="AN4613" s="340"/>
      <c r="AO4613" s="340"/>
      <c r="AS4613" s="340"/>
      <c r="AX4613" s="340"/>
      <c r="BB4613" s="340"/>
      <c r="BD4613" s="339"/>
    </row>
    <row r="4614" spans="7:56" s="338" customFormat="1">
      <c r="G4614" s="340"/>
      <c r="L4614" s="340"/>
      <c r="P4614" s="340"/>
      <c r="U4614" s="340"/>
      <c r="V4614" s="340"/>
      <c r="Z4614" s="340"/>
      <c r="AE4614" s="340"/>
      <c r="AI4614" s="340"/>
      <c r="AN4614" s="340"/>
      <c r="AO4614" s="340"/>
      <c r="AS4614" s="340"/>
      <c r="AX4614" s="340"/>
      <c r="BB4614" s="340"/>
      <c r="BD4614" s="339"/>
    </row>
    <row r="4615" spans="7:56" s="338" customFormat="1">
      <c r="G4615" s="340"/>
      <c r="L4615" s="340"/>
      <c r="P4615" s="340"/>
      <c r="U4615" s="340"/>
      <c r="V4615" s="340"/>
      <c r="Z4615" s="340"/>
      <c r="AE4615" s="340"/>
      <c r="AI4615" s="340"/>
      <c r="AN4615" s="340"/>
      <c r="AO4615" s="340"/>
      <c r="AS4615" s="340"/>
      <c r="AX4615" s="340"/>
      <c r="BB4615" s="340"/>
      <c r="BD4615" s="339"/>
    </row>
    <row r="4616" spans="7:56" s="338" customFormat="1">
      <c r="G4616" s="340"/>
      <c r="L4616" s="340"/>
      <c r="P4616" s="340"/>
      <c r="U4616" s="340"/>
      <c r="V4616" s="340"/>
      <c r="Z4616" s="340"/>
      <c r="AE4616" s="340"/>
      <c r="AI4616" s="340"/>
      <c r="AN4616" s="340"/>
      <c r="AO4616" s="340"/>
      <c r="AS4616" s="340"/>
      <c r="AX4616" s="340"/>
      <c r="BB4616" s="340"/>
      <c r="BD4616" s="339"/>
    </row>
    <row r="4617" spans="7:56" s="338" customFormat="1">
      <c r="G4617" s="340"/>
      <c r="L4617" s="340"/>
      <c r="P4617" s="340"/>
      <c r="U4617" s="340"/>
      <c r="V4617" s="340"/>
      <c r="Z4617" s="340"/>
      <c r="AE4617" s="340"/>
      <c r="AI4617" s="340"/>
      <c r="AN4617" s="340"/>
      <c r="AO4617" s="340"/>
      <c r="AS4617" s="340"/>
      <c r="AX4617" s="340"/>
      <c r="BB4617" s="340"/>
      <c r="BD4617" s="339"/>
    </row>
    <row r="4618" spans="7:56" s="338" customFormat="1">
      <c r="G4618" s="340"/>
      <c r="L4618" s="340"/>
      <c r="P4618" s="340"/>
      <c r="U4618" s="340"/>
      <c r="V4618" s="340"/>
      <c r="Z4618" s="340"/>
      <c r="AE4618" s="340"/>
      <c r="AI4618" s="340"/>
      <c r="AN4618" s="340"/>
      <c r="AO4618" s="340"/>
      <c r="AS4618" s="340"/>
      <c r="AX4618" s="340"/>
      <c r="BB4618" s="340"/>
      <c r="BD4618" s="339"/>
    </row>
    <row r="4619" spans="7:56" s="338" customFormat="1">
      <c r="G4619" s="340"/>
      <c r="L4619" s="340"/>
      <c r="P4619" s="340"/>
      <c r="U4619" s="340"/>
      <c r="V4619" s="340"/>
      <c r="Z4619" s="340"/>
      <c r="AE4619" s="340"/>
      <c r="AI4619" s="340"/>
      <c r="AN4619" s="340"/>
      <c r="AO4619" s="340"/>
      <c r="AS4619" s="340"/>
      <c r="AX4619" s="340"/>
      <c r="BB4619" s="340"/>
      <c r="BD4619" s="339"/>
    </row>
    <row r="4620" spans="7:56" s="338" customFormat="1">
      <c r="G4620" s="340"/>
      <c r="L4620" s="340"/>
      <c r="P4620" s="340"/>
      <c r="U4620" s="340"/>
      <c r="V4620" s="340"/>
      <c r="Z4620" s="340"/>
      <c r="AE4620" s="340"/>
      <c r="AI4620" s="340"/>
      <c r="AN4620" s="340"/>
      <c r="AO4620" s="340"/>
      <c r="AS4620" s="340"/>
      <c r="AX4620" s="340"/>
      <c r="BB4620" s="340"/>
      <c r="BD4620" s="339"/>
    </row>
    <row r="4621" spans="7:56" s="338" customFormat="1">
      <c r="G4621" s="340"/>
      <c r="L4621" s="340"/>
      <c r="P4621" s="340"/>
      <c r="U4621" s="340"/>
      <c r="V4621" s="340"/>
      <c r="Z4621" s="340"/>
      <c r="AE4621" s="340"/>
      <c r="AI4621" s="340"/>
      <c r="AN4621" s="340"/>
      <c r="AO4621" s="340"/>
      <c r="AS4621" s="340"/>
      <c r="AX4621" s="340"/>
      <c r="BB4621" s="340"/>
      <c r="BD4621" s="339"/>
    </row>
    <row r="4622" spans="7:56" s="338" customFormat="1">
      <c r="G4622" s="340"/>
      <c r="L4622" s="340"/>
      <c r="P4622" s="340"/>
      <c r="U4622" s="340"/>
      <c r="V4622" s="340"/>
      <c r="Z4622" s="340"/>
      <c r="AE4622" s="340"/>
      <c r="AI4622" s="340"/>
      <c r="AN4622" s="340"/>
      <c r="AO4622" s="340"/>
      <c r="AS4622" s="340"/>
      <c r="AX4622" s="340"/>
      <c r="BB4622" s="340"/>
      <c r="BD4622" s="339"/>
    </row>
    <row r="4623" spans="7:56" s="338" customFormat="1">
      <c r="G4623" s="340"/>
      <c r="L4623" s="340"/>
      <c r="P4623" s="340"/>
      <c r="U4623" s="340"/>
      <c r="V4623" s="340"/>
      <c r="Z4623" s="340"/>
      <c r="AE4623" s="340"/>
      <c r="AI4623" s="340"/>
      <c r="AN4623" s="340"/>
      <c r="AO4623" s="340"/>
      <c r="AS4623" s="340"/>
      <c r="AX4623" s="340"/>
      <c r="BB4623" s="340"/>
      <c r="BD4623" s="339"/>
    </row>
    <row r="4624" spans="7:56" s="338" customFormat="1">
      <c r="G4624" s="340"/>
      <c r="L4624" s="340"/>
      <c r="P4624" s="340"/>
      <c r="U4624" s="340"/>
      <c r="V4624" s="340"/>
      <c r="Z4624" s="340"/>
      <c r="AE4624" s="340"/>
      <c r="AI4624" s="340"/>
      <c r="AN4624" s="340"/>
      <c r="AO4624" s="340"/>
      <c r="AS4624" s="340"/>
      <c r="AX4624" s="340"/>
      <c r="BB4624" s="340"/>
      <c r="BD4624" s="339"/>
    </row>
    <row r="4625" spans="7:56" s="338" customFormat="1">
      <c r="G4625" s="340"/>
      <c r="L4625" s="340"/>
      <c r="P4625" s="340"/>
      <c r="U4625" s="340"/>
      <c r="V4625" s="340"/>
      <c r="Z4625" s="340"/>
      <c r="AE4625" s="340"/>
      <c r="AI4625" s="340"/>
      <c r="AN4625" s="340"/>
      <c r="AO4625" s="340"/>
      <c r="AS4625" s="340"/>
      <c r="AX4625" s="340"/>
      <c r="BB4625" s="340"/>
      <c r="BD4625" s="339"/>
    </row>
    <row r="4626" spans="7:56" s="338" customFormat="1">
      <c r="G4626" s="340"/>
      <c r="L4626" s="340"/>
      <c r="P4626" s="340"/>
      <c r="U4626" s="340"/>
      <c r="V4626" s="340"/>
      <c r="Z4626" s="340"/>
      <c r="AE4626" s="340"/>
      <c r="AI4626" s="340"/>
      <c r="AN4626" s="340"/>
      <c r="AO4626" s="340"/>
      <c r="AS4626" s="340"/>
      <c r="AX4626" s="340"/>
      <c r="BB4626" s="340"/>
      <c r="BD4626" s="339"/>
    </row>
    <row r="4627" spans="7:56" s="338" customFormat="1">
      <c r="G4627" s="340"/>
      <c r="L4627" s="340"/>
      <c r="P4627" s="340"/>
      <c r="U4627" s="340"/>
      <c r="V4627" s="340"/>
      <c r="Z4627" s="340"/>
      <c r="AE4627" s="340"/>
      <c r="AI4627" s="340"/>
      <c r="AN4627" s="340"/>
      <c r="AO4627" s="340"/>
      <c r="AS4627" s="340"/>
      <c r="AX4627" s="340"/>
      <c r="BB4627" s="340"/>
      <c r="BD4627" s="339"/>
    </row>
    <row r="4628" spans="7:56" s="338" customFormat="1">
      <c r="G4628" s="340"/>
      <c r="L4628" s="340"/>
      <c r="P4628" s="340"/>
      <c r="U4628" s="340"/>
      <c r="V4628" s="340"/>
      <c r="Z4628" s="340"/>
      <c r="AE4628" s="340"/>
      <c r="AI4628" s="340"/>
      <c r="AN4628" s="340"/>
      <c r="AO4628" s="340"/>
      <c r="AS4628" s="340"/>
      <c r="AX4628" s="340"/>
      <c r="BB4628" s="340"/>
      <c r="BD4628" s="339"/>
    </row>
    <row r="4629" spans="7:56" s="338" customFormat="1">
      <c r="G4629" s="340"/>
      <c r="L4629" s="340"/>
      <c r="P4629" s="340"/>
      <c r="U4629" s="340"/>
      <c r="V4629" s="340"/>
      <c r="Z4629" s="340"/>
      <c r="AE4629" s="340"/>
      <c r="AI4629" s="340"/>
      <c r="AN4629" s="340"/>
      <c r="AO4629" s="340"/>
      <c r="AS4629" s="340"/>
      <c r="AX4629" s="340"/>
      <c r="BB4629" s="340"/>
      <c r="BD4629" s="339"/>
    </row>
    <row r="4630" spans="7:56" s="338" customFormat="1">
      <c r="G4630" s="340"/>
      <c r="L4630" s="340"/>
      <c r="P4630" s="340"/>
      <c r="U4630" s="340"/>
      <c r="V4630" s="340"/>
      <c r="Z4630" s="340"/>
      <c r="AE4630" s="340"/>
      <c r="AI4630" s="340"/>
      <c r="AN4630" s="340"/>
      <c r="AO4630" s="340"/>
      <c r="AS4630" s="340"/>
      <c r="AX4630" s="340"/>
      <c r="BB4630" s="340"/>
      <c r="BD4630" s="339"/>
    </row>
    <row r="4631" spans="7:56" s="338" customFormat="1">
      <c r="G4631" s="340"/>
      <c r="L4631" s="340"/>
      <c r="P4631" s="340"/>
      <c r="U4631" s="340"/>
      <c r="V4631" s="340"/>
      <c r="Z4631" s="340"/>
      <c r="AE4631" s="340"/>
      <c r="AI4631" s="340"/>
      <c r="AN4631" s="340"/>
      <c r="AO4631" s="340"/>
      <c r="AS4631" s="340"/>
      <c r="AX4631" s="340"/>
      <c r="BB4631" s="340"/>
      <c r="BD4631" s="339"/>
    </row>
    <row r="4632" spans="7:56" s="338" customFormat="1">
      <c r="G4632" s="340"/>
      <c r="L4632" s="340"/>
      <c r="P4632" s="340"/>
      <c r="U4632" s="340"/>
      <c r="V4632" s="340"/>
      <c r="Z4632" s="340"/>
      <c r="AE4632" s="340"/>
      <c r="AI4632" s="340"/>
      <c r="AN4632" s="340"/>
      <c r="AO4632" s="340"/>
      <c r="AS4632" s="340"/>
      <c r="AX4632" s="340"/>
      <c r="BB4632" s="340"/>
      <c r="BD4632" s="339"/>
    </row>
    <row r="4633" spans="7:56" s="338" customFormat="1">
      <c r="G4633" s="340"/>
      <c r="L4633" s="340"/>
      <c r="P4633" s="340"/>
      <c r="U4633" s="340"/>
      <c r="V4633" s="340"/>
      <c r="Z4633" s="340"/>
      <c r="AE4633" s="340"/>
      <c r="AI4633" s="340"/>
      <c r="AN4633" s="340"/>
      <c r="AO4633" s="340"/>
      <c r="AS4633" s="340"/>
      <c r="AX4633" s="340"/>
      <c r="BB4633" s="340"/>
      <c r="BD4633" s="339"/>
    </row>
    <row r="4634" spans="7:56" s="338" customFormat="1">
      <c r="G4634" s="340"/>
      <c r="L4634" s="340"/>
      <c r="P4634" s="340"/>
      <c r="U4634" s="340"/>
      <c r="V4634" s="340"/>
      <c r="Z4634" s="340"/>
      <c r="AE4634" s="340"/>
      <c r="AI4634" s="340"/>
      <c r="AN4634" s="340"/>
      <c r="AO4634" s="340"/>
      <c r="AS4634" s="340"/>
      <c r="AX4634" s="340"/>
      <c r="BB4634" s="340"/>
      <c r="BD4634" s="339"/>
    </row>
    <row r="4635" spans="7:56" s="338" customFormat="1">
      <c r="G4635" s="340"/>
      <c r="L4635" s="340"/>
      <c r="P4635" s="340"/>
      <c r="U4635" s="340"/>
      <c r="V4635" s="340"/>
      <c r="Z4635" s="340"/>
      <c r="AE4635" s="340"/>
      <c r="AI4635" s="340"/>
      <c r="AN4635" s="340"/>
      <c r="AO4635" s="340"/>
      <c r="AS4635" s="340"/>
      <c r="AX4635" s="340"/>
      <c r="BB4635" s="340"/>
      <c r="BD4635" s="339"/>
    </row>
    <row r="4636" spans="7:56" s="338" customFormat="1">
      <c r="G4636" s="340"/>
      <c r="L4636" s="340"/>
      <c r="P4636" s="340"/>
      <c r="U4636" s="340"/>
      <c r="V4636" s="340"/>
      <c r="Z4636" s="340"/>
      <c r="AE4636" s="340"/>
      <c r="AI4636" s="340"/>
      <c r="AN4636" s="340"/>
      <c r="AO4636" s="340"/>
      <c r="AS4636" s="340"/>
      <c r="AX4636" s="340"/>
      <c r="BB4636" s="340"/>
      <c r="BD4636" s="339"/>
    </row>
    <row r="4637" spans="7:56" s="338" customFormat="1">
      <c r="G4637" s="340"/>
      <c r="L4637" s="340"/>
      <c r="P4637" s="340"/>
      <c r="U4637" s="340"/>
      <c r="V4637" s="340"/>
      <c r="Z4637" s="340"/>
      <c r="AE4637" s="340"/>
      <c r="AI4637" s="340"/>
      <c r="AN4637" s="340"/>
      <c r="AO4637" s="340"/>
      <c r="AS4637" s="340"/>
      <c r="AX4637" s="340"/>
      <c r="BB4637" s="340"/>
      <c r="BD4637" s="339"/>
    </row>
    <row r="4638" spans="7:56" s="338" customFormat="1">
      <c r="G4638" s="340"/>
      <c r="L4638" s="340"/>
      <c r="P4638" s="340"/>
      <c r="U4638" s="340"/>
      <c r="V4638" s="340"/>
      <c r="Z4638" s="340"/>
      <c r="AE4638" s="340"/>
      <c r="AI4638" s="340"/>
      <c r="AN4638" s="340"/>
      <c r="AO4638" s="340"/>
      <c r="AS4638" s="340"/>
      <c r="AX4638" s="340"/>
      <c r="BB4638" s="340"/>
      <c r="BD4638" s="339"/>
    </row>
    <row r="4639" spans="7:56" s="338" customFormat="1">
      <c r="G4639" s="340"/>
      <c r="L4639" s="340"/>
      <c r="P4639" s="340"/>
      <c r="U4639" s="340"/>
      <c r="V4639" s="340"/>
      <c r="Z4639" s="340"/>
      <c r="AE4639" s="340"/>
      <c r="AI4639" s="340"/>
      <c r="AN4639" s="340"/>
      <c r="AO4639" s="340"/>
      <c r="AS4639" s="340"/>
      <c r="AX4639" s="340"/>
      <c r="BB4639" s="340"/>
      <c r="BD4639" s="339"/>
    </row>
    <row r="4640" spans="7:56" s="338" customFormat="1">
      <c r="G4640" s="340"/>
      <c r="L4640" s="340"/>
      <c r="P4640" s="340"/>
      <c r="U4640" s="340"/>
      <c r="V4640" s="340"/>
      <c r="Z4640" s="340"/>
      <c r="AE4640" s="340"/>
      <c r="AI4640" s="340"/>
      <c r="AN4640" s="340"/>
      <c r="AO4640" s="340"/>
      <c r="AS4640" s="340"/>
      <c r="AX4640" s="340"/>
      <c r="BB4640" s="340"/>
      <c r="BD4640" s="339"/>
    </row>
    <row r="4641" spans="7:56" s="338" customFormat="1">
      <c r="G4641" s="340"/>
      <c r="L4641" s="340"/>
      <c r="P4641" s="340"/>
      <c r="U4641" s="340"/>
      <c r="V4641" s="340"/>
      <c r="Z4641" s="340"/>
      <c r="AE4641" s="340"/>
      <c r="AI4641" s="340"/>
      <c r="AN4641" s="340"/>
      <c r="AO4641" s="340"/>
      <c r="AS4641" s="340"/>
      <c r="AX4641" s="340"/>
      <c r="BB4641" s="340"/>
      <c r="BD4641" s="339"/>
    </row>
    <row r="4642" spans="7:56" s="338" customFormat="1">
      <c r="G4642" s="340"/>
      <c r="L4642" s="340"/>
      <c r="P4642" s="340"/>
      <c r="U4642" s="340"/>
      <c r="V4642" s="340"/>
      <c r="Z4642" s="340"/>
      <c r="AE4642" s="340"/>
      <c r="AI4642" s="340"/>
      <c r="AN4642" s="340"/>
      <c r="AO4642" s="340"/>
      <c r="AS4642" s="340"/>
      <c r="AX4642" s="340"/>
      <c r="BB4642" s="340"/>
      <c r="BD4642" s="339"/>
    </row>
    <row r="4643" spans="7:56" s="338" customFormat="1">
      <c r="G4643" s="340"/>
      <c r="L4643" s="340"/>
      <c r="P4643" s="340"/>
      <c r="U4643" s="340"/>
      <c r="V4643" s="340"/>
      <c r="Z4643" s="340"/>
      <c r="AE4643" s="340"/>
      <c r="AI4643" s="340"/>
      <c r="AN4643" s="340"/>
      <c r="AO4643" s="340"/>
      <c r="AS4643" s="340"/>
      <c r="AX4643" s="340"/>
      <c r="BB4643" s="340"/>
      <c r="BD4643" s="339"/>
    </row>
    <row r="4644" spans="7:56" s="338" customFormat="1">
      <c r="G4644" s="340"/>
      <c r="L4644" s="340"/>
      <c r="P4644" s="340"/>
      <c r="U4644" s="340"/>
      <c r="V4644" s="340"/>
      <c r="Z4644" s="340"/>
      <c r="AE4644" s="340"/>
      <c r="AI4644" s="340"/>
      <c r="AN4644" s="340"/>
      <c r="AO4644" s="340"/>
      <c r="AS4644" s="340"/>
      <c r="AX4644" s="340"/>
      <c r="BB4644" s="340"/>
      <c r="BD4644" s="339"/>
    </row>
    <row r="4645" spans="7:56" s="338" customFormat="1">
      <c r="G4645" s="340"/>
      <c r="L4645" s="340"/>
      <c r="P4645" s="340"/>
      <c r="U4645" s="340"/>
      <c r="V4645" s="340"/>
      <c r="Z4645" s="340"/>
      <c r="AE4645" s="340"/>
      <c r="AI4645" s="340"/>
      <c r="AN4645" s="340"/>
      <c r="AO4645" s="340"/>
      <c r="AS4645" s="340"/>
      <c r="AX4645" s="340"/>
      <c r="BB4645" s="340"/>
      <c r="BD4645" s="339"/>
    </row>
    <row r="4646" spans="7:56" s="338" customFormat="1">
      <c r="G4646" s="340"/>
      <c r="L4646" s="340"/>
      <c r="P4646" s="340"/>
      <c r="U4646" s="340"/>
      <c r="V4646" s="340"/>
      <c r="Z4646" s="340"/>
      <c r="AE4646" s="340"/>
      <c r="AI4646" s="340"/>
      <c r="AN4646" s="340"/>
      <c r="AO4646" s="340"/>
      <c r="AS4646" s="340"/>
      <c r="AX4646" s="340"/>
      <c r="BB4646" s="340"/>
      <c r="BD4646" s="339"/>
    </row>
    <row r="4647" spans="7:56" s="338" customFormat="1">
      <c r="G4647" s="340"/>
      <c r="L4647" s="340"/>
      <c r="P4647" s="340"/>
      <c r="U4647" s="340"/>
      <c r="V4647" s="340"/>
      <c r="Z4647" s="340"/>
      <c r="AE4647" s="340"/>
      <c r="AI4647" s="340"/>
      <c r="AN4647" s="340"/>
      <c r="AO4647" s="340"/>
      <c r="AS4647" s="340"/>
      <c r="AX4647" s="340"/>
      <c r="BB4647" s="340"/>
      <c r="BD4647" s="339"/>
    </row>
    <row r="4648" spans="7:56" s="338" customFormat="1">
      <c r="G4648" s="340"/>
      <c r="L4648" s="340"/>
      <c r="P4648" s="340"/>
      <c r="U4648" s="340"/>
      <c r="V4648" s="340"/>
      <c r="Z4648" s="340"/>
      <c r="AE4648" s="340"/>
      <c r="AI4648" s="340"/>
      <c r="AN4648" s="340"/>
      <c r="AO4648" s="340"/>
      <c r="AS4648" s="340"/>
      <c r="AX4648" s="340"/>
      <c r="BB4648" s="340"/>
      <c r="BD4648" s="339"/>
    </row>
    <row r="4649" spans="7:56" s="338" customFormat="1">
      <c r="G4649" s="340"/>
      <c r="L4649" s="340"/>
      <c r="P4649" s="340"/>
      <c r="U4649" s="340"/>
      <c r="V4649" s="340"/>
      <c r="Z4649" s="340"/>
      <c r="AE4649" s="340"/>
      <c r="AI4649" s="340"/>
      <c r="AN4649" s="340"/>
      <c r="AO4649" s="340"/>
      <c r="AS4649" s="340"/>
      <c r="AX4649" s="340"/>
      <c r="BB4649" s="340"/>
      <c r="BD4649" s="339"/>
    </row>
    <row r="4650" spans="7:56" s="338" customFormat="1">
      <c r="G4650" s="340"/>
      <c r="L4650" s="340"/>
      <c r="P4650" s="340"/>
      <c r="U4650" s="340"/>
      <c r="V4650" s="340"/>
      <c r="Z4650" s="340"/>
      <c r="AE4650" s="340"/>
      <c r="AI4650" s="340"/>
      <c r="AN4650" s="340"/>
      <c r="AO4650" s="340"/>
      <c r="AS4650" s="340"/>
      <c r="AX4650" s="340"/>
      <c r="BB4650" s="340"/>
      <c r="BD4650" s="339"/>
    </row>
    <row r="4651" spans="7:56" s="338" customFormat="1">
      <c r="G4651" s="340"/>
      <c r="L4651" s="340"/>
      <c r="P4651" s="340"/>
      <c r="U4651" s="340"/>
      <c r="V4651" s="340"/>
      <c r="Z4651" s="340"/>
      <c r="AE4651" s="340"/>
      <c r="AI4651" s="340"/>
      <c r="AN4651" s="340"/>
      <c r="AO4651" s="340"/>
      <c r="AS4651" s="340"/>
      <c r="AX4651" s="340"/>
      <c r="BB4651" s="340"/>
      <c r="BD4651" s="339"/>
    </row>
    <row r="4652" spans="7:56" s="338" customFormat="1">
      <c r="G4652" s="340"/>
      <c r="L4652" s="340"/>
      <c r="P4652" s="340"/>
      <c r="U4652" s="340"/>
      <c r="V4652" s="340"/>
      <c r="Z4652" s="340"/>
      <c r="AE4652" s="340"/>
      <c r="AI4652" s="340"/>
      <c r="AN4652" s="340"/>
      <c r="AO4652" s="340"/>
      <c r="AS4652" s="340"/>
      <c r="AX4652" s="340"/>
      <c r="BB4652" s="340"/>
      <c r="BD4652" s="339"/>
    </row>
    <row r="4653" spans="7:56" s="338" customFormat="1">
      <c r="G4653" s="340"/>
      <c r="L4653" s="340"/>
      <c r="P4653" s="340"/>
      <c r="U4653" s="340"/>
      <c r="V4653" s="340"/>
      <c r="Z4653" s="340"/>
      <c r="AE4653" s="340"/>
      <c r="AI4653" s="340"/>
      <c r="AN4653" s="340"/>
      <c r="AO4653" s="340"/>
      <c r="AS4653" s="340"/>
      <c r="AX4653" s="340"/>
      <c r="BB4653" s="340"/>
      <c r="BD4653" s="339"/>
    </row>
    <row r="4654" spans="7:56" s="338" customFormat="1">
      <c r="G4654" s="340"/>
      <c r="L4654" s="340"/>
      <c r="P4654" s="340"/>
      <c r="U4654" s="340"/>
      <c r="V4654" s="340"/>
      <c r="Z4654" s="340"/>
      <c r="AE4654" s="340"/>
      <c r="AI4654" s="340"/>
      <c r="AN4654" s="340"/>
      <c r="AO4654" s="340"/>
      <c r="AS4654" s="340"/>
      <c r="AX4654" s="340"/>
      <c r="BB4654" s="340"/>
      <c r="BD4654" s="339"/>
    </row>
    <row r="4655" spans="7:56" s="338" customFormat="1">
      <c r="G4655" s="340"/>
      <c r="L4655" s="340"/>
      <c r="P4655" s="340"/>
      <c r="U4655" s="340"/>
      <c r="V4655" s="340"/>
      <c r="Z4655" s="340"/>
      <c r="AE4655" s="340"/>
      <c r="AI4655" s="340"/>
      <c r="AN4655" s="340"/>
      <c r="AO4655" s="340"/>
      <c r="AS4655" s="340"/>
      <c r="AX4655" s="340"/>
      <c r="BB4655" s="340"/>
      <c r="BD4655" s="339"/>
    </row>
    <row r="4656" spans="7:56" s="338" customFormat="1">
      <c r="G4656" s="340"/>
      <c r="L4656" s="340"/>
      <c r="P4656" s="340"/>
      <c r="U4656" s="340"/>
      <c r="V4656" s="340"/>
      <c r="Z4656" s="340"/>
      <c r="AE4656" s="340"/>
      <c r="AI4656" s="340"/>
      <c r="AN4656" s="340"/>
      <c r="AO4656" s="340"/>
      <c r="AS4656" s="340"/>
      <c r="AX4656" s="340"/>
      <c r="BB4656" s="340"/>
      <c r="BD4656" s="339"/>
    </row>
    <row r="4657" spans="7:56" s="338" customFormat="1">
      <c r="G4657" s="340"/>
      <c r="L4657" s="340"/>
      <c r="P4657" s="340"/>
      <c r="U4657" s="340"/>
      <c r="V4657" s="340"/>
      <c r="Z4657" s="340"/>
      <c r="AE4657" s="340"/>
      <c r="AI4657" s="340"/>
      <c r="AN4657" s="340"/>
      <c r="AO4657" s="340"/>
      <c r="AS4657" s="340"/>
      <c r="AX4657" s="340"/>
      <c r="BB4657" s="340"/>
      <c r="BD4657" s="339"/>
    </row>
    <row r="4658" spans="7:56" s="338" customFormat="1">
      <c r="G4658" s="340"/>
      <c r="L4658" s="340"/>
      <c r="P4658" s="340"/>
      <c r="U4658" s="340"/>
      <c r="V4658" s="340"/>
      <c r="Z4658" s="340"/>
      <c r="AE4658" s="340"/>
      <c r="AI4658" s="340"/>
      <c r="AN4658" s="340"/>
      <c r="AO4658" s="340"/>
      <c r="AS4658" s="340"/>
      <c r="AX4658" s="340"/>
      <c r="BB4658" s="340"/>
      <c r="BD4658" s="339"/>
    </row>
    <row r="4659" spans="7:56" s="338" customFormat="1">
      <c r="G4659" s="340"/>
      <c r="L4659" s="340"/>
      <c r="P4659" s="340"/>
      <c r="U4659" s="340"/>
      <c r="V4659" s="340"/>
      <c r="Z4659" s="340"/>
      <c r="AE4659" s="340"/>
      <c r="AI4659" s="340"/>
      <c r="AN4659" s="340"/>
      <c r="AO4659" s="340"/>
      <c r="AS4659" s="340"/>
      <c r="AX4659" s="340"/>
      <c r="BB4659" s="340"/>
      <c r="BD4659" s="339"/>
    </row>
    <row r="4660" spans="7:56" s="338" customFormat="1">
      <c r="G4660" s="340"/>
      <c r="L4660" s="340"/>
      <c r="P4660" s="340"/>
      <c r="U4660" s="340"/>
      <c r="V4660" s="340"/>
      <c r="Z4660" s="340"/>
      <c r="AE4660" s="340"/>
      <c r="AI4660" s="340"/>
      <c r="AN4660" s="340"/>
      <c r="AO4660" s="340"/>
      <c r="AS4660" s="340"/>
      <c r="AX4660" s="340"/>
      <c r="BB4660" s="340"/>
      <c r="BD4660" s="339"/>
    </row>
    <row r="4661" spans="7:56" s="338" customFormat="1">
      <c r="G4661" s="340"/>
      <c r="L4661" s="340"/>
      <c r="P4661" s="340"/>
      <c r="U4661" s="340"/>
      <c r="V4661" s="340"/>
      <c r="Z4661" s="340"/>
      <c r="AE4661" s="340"/>
      <c r="AI4661" s="340"/>
      <c r="AN4661" s="340"/>
      <c r="AO4661" s="340"/>
      <c r="AS4661" s="340"/>
      <c r="AX4661" s="340"/>
      <c r="BB4661" s="340"/>
      <c r="BD4661" s="339"/>
    </row>
    <row r="4662" spans="7:56" s="338" customFormat="1">
      <c r="G4662" s="340"/>
      <c r="L4662" s="340"/>
      <c r="P4662" s="340"/>
      <c r="U4662" s="340"/>
      <c r="V4662" s="340"/>
      <c r="Z4662" s="340"/>
      <c r="AE4662" s="340"/>
      <c r="AI4662" s="340"/>
      <c r="AN4662" s="340"/>
      <c r="AO4662" s="340"/>
      <c r="AS4662" s="340"/>
      <c r="AX4662" s="340"/>
      <c r="BB4662" s="340"/>
      <c r="BD4662" s="339"/>
    </row>
    <row r="4663" spans="7:56" s="338" customFormat="1">
      <c r="G4663" s="340"/>
      <c r="L4663" s="340"/>
      <c r="P4663" s="340"/>
      <c r="U4663" s="340"/>
      <c r="V4663" s="340"/>
      <c r="Z4663" s="340"/>
      <c r="AE4663" s="340"/>
      <c r="AI4663" s="340"/>
      <c r="AN4663" s="340"/>
      <c r="AO4663" s="340"/>
      <c r="AS4663" s="340"/>
      <c r="AX4663" s="340"/>
      <c r="BB4663" s="340"/>
      <c r="BD4663" s="339"/>
    </row>
    <row r="4664" spans="7:56" s="338" customFormat="1">
      <c r="G4664" s="340"/>
      <c r="L4664" s="340"/>
      <c r="P4664" s="340"/>
      <c r="U4664" s="340"/>
      <c r="V4664" s="340"/>
      <c r="Z4664" s="340"/>
      <c r="AE4664" s="340"/>
      <c r="AI4664" s="340"/>
      <c r="AN4664" s="340"/>
      <c r="AO4664" s="340"/>
      <c r="AS4664" s="340"/>
      <c r="AX4664" s="340"/>
      <c r="BB4664" s="340"/>
      <c r="BD4664" s="339"/>
    </row>
    <row r="4665" spans="7:56" s="338" customFormat="1">
      <c r="G4665" s="340"/>
      <c r="L4665" s="340"/>
      <c r="P4665" s="340"/>
      <c r="U4665" s="340"/>
      <c r="V4665" s="340"/>
      <c r="Z4665" s="340"/>
      <c r="AE4665" s="340"/>
      <c r="AI4665" s="340"/>
      <c r="AN4665" s="340"/>
      <c r="AO4665" s="340"/>
      <c r="AS4665" s="340"/>
      <c r="AX4665" s="340"/>
      <c r="BB4665" s="340"/>
      <c r="BD4665" s="339"/>
    </row>
    <row r="4666" spans="7:56" s="338" customFormat="1">
      <c r="G4666" s="340"/>
      <c r="L4666" s="340"/>
      <c r="P4666" s="340"/>
      <c r="U4666" s="340"/>
      <c r="V4666" s="340"/>
      <c r="Z4666" s="340"/>
      <c r="AE4666" s="340"/>
      <c r="AI4666" s="340"/>
      <c r="AN4666" s="340"/>
      <c r="AO4666" s="340"/>
      <c r="AS4666" s="340"/>
      <c r="AX4666" s="340"/>
      <c r="BB4666" s="340"/>
      <c r="BD4666" s="339"/>
    </row>
    <row r="4667" spans="7:56" s="338" customFormat="1">
      <c r="G4667" s="340"/>
      <c r="L4667" s="340"/>
      <c r="P4667" s="340"/>
      <c r="U4667" s="340"/>
      <c r="V4667" s="340"/>
      <c r="Z4667" s="340"/>
      <c r="AE4667" s="340"/>
      <c r="AI4667" s="340"/>
      <c r="AN4667" s="340"/>
      <c r="AO4667" s="340"/>
      <c r="AS4667" s="340"/>
      <c r="AX4667" s="340"/>
      <c r="BB4667" s="340"/>
      <c r="BD4667" s="339"/>
    </row>
    <row r="4668" spans="7:56" s="338" customFormat="1">
      <c r="G4668" s="340"/>
      <c r="L4668" s="340"/>
      <c r="P4668" s="340"/>
      <c r="U4668" s="340"/>
      <c r="V4668" s="340"/>
      <c r="Z4668" s="340"/>
      <c r="AE4668" s="340"/>
      <c r="AI4668" s="340"/>
      <c r="AN4668" s="340"/>
      <c r="AO4668" s="340"/>
      <c r="AS4668" s="340"/>
      <c r="AX4668" s="340"/>
      <c r="BB4668" s="340"/>
      <c r="BD4668" s="339"/>
    </row>
    <row r="4669" spans="7:56" s="338" customFormat="1">
      <c r="G4669" s="340"/>
      <c r="L4669" s="340"/>
      <c r="P4669" s="340"/>
      <c r="U4669" s="340"/>
      <c r="V4669" s="340"/>
      <c r="Z4669" s="340"/>
      <c r="AE4669" s="340"/>
      <c r="AI4669" s="340"/>
      <c r="AN4669" s="340"/>
      <c r="AO4669" s="340"/>
      <c r="AS4669" s="340"/>
      <c r="AX4669" s="340"/>
      <c r="BB4669" s="340"/>
      <c r="BD4669" s="339"/>
    </row>
    <row r="4670" spans="7:56" s="338" customFormat="1">
      <c r="G4670" s="340"/>
      <c r="L4670" s="340"/>
      <c r="P4670" s="340"/>
      <c r="U4670" s="340"/>
      <c r="V4670" s="340"/>
      <c r="Z4670" s="340"/>
      <c r="AE4670" s="340"/>
      <c r="AI4670" s="340"/>
      <c r="AN4670" s="340"/>
      <c r="AO4670" s="340"/>
      <c r="AS4670" s="340"/>
      <c r="AX4670" s="340"/>
      <c r="BB4670" s="340"/>
      <c r="BD4670" s="339"/>
    </row>
    <row r="4671" spans="7:56" s="338" customFormat="1">
      <c r="G4671" s="340"/>
      <c r="L4671" s="340"/>
      <c r="P4671" s="340"/>
      <c r="U4671" s="340"/>
      <c r="V4671" s="340"/>
      <c r="Z4671" s="340"/>
      <c r="AE4671" s="340"/>
      <c r="AI4671" s="340"/>
      <c r="AN4671" s="340"/>
      <c r="AO4671" s="340"/>
      <c r="AS4671" s="340"/>
      <c r="AX4671" s="340"/>
      <c r="BB4671" s="340"/>
      <c r="BD4671" s="339"/>
    </row>
    <row r="4672" spans="7:56" s="338" customFormat="1">
      <c r="G4672" s="340"/>
      <c r="L4672" s="340"/>
      <c r="P4672" s="340"/>
      <c r="U4672" s="340"/>
      <c r="V4672" s="340"/>
      <c r="Z4672" s="340"/>
      <c r="AE4672" s="340"/>
      <c r="AI4672" s="340"/>
      <c r="AN4672" s="340"/>
      <c r="AO4672" s="340"/>
      <c r="AS4672" s="340"/>
      <c r="AX4672" s="340"/>
      <c r="BB4672" s="340"/>
      <c r="BD4672" s="339"/>
    </row>
    <row r="4673" spans="7:56" s="338" customFormat="1">
      <c r="G4673" s="340"/>
      <c r="L4673" s="340"/>
      <c r="P4673" s="340"/>
      <c r="U4673" s="340"/>
      <c r="V4673" s="340"/>
      <c r="Z4673" s="340"/>
      <c r="AE4673" s="340"/>
      <c r="AI4673" s="340"/>
      <c r="AN4673" s="340"/>
      <c r="AO4673" s="340"/>
      <c r="AS4673" s="340"/>
      <c r="AX4673" s="340"/>
      <c r="BB4673" s="340"/>
      <c r="BD4673" s="339"/>
    </row>
    <row r="4674" spans="7:56" s="338" customFormat="1">
      <c r="G4674" s="340"/>
      <c r="L4674" s="340"/>
      <c r="P4674" s="340"/>
      <c r="U4674" s="340"/>
      <c r="V4674" s="340"/>
      <c r="Z4674" s="340"/>
      <c r="AE4674" s="340"/>
      <c r="AI4674" s="340"/>
      <c r="AN4674" s="340"/>
      <c r="AO4674" s="340"/>
      <c r="AS4674" s="340"/>
      <c r="AX4674" s="340"/>
      <c r="BB4674" s="340"/>
      <c r="BD4674" s="339"/>
    </row>
    <row r="4675" spans="7:56" s="338" customFormat="1">
      <c r="G4675" s="340"/>
      <c r="L4675" s="340"/>
      <c r="P4675" s="340"/>
      <c r="U4675" s="340"/>
      <c r="V4675" s="340"/>
      <c r="Z4675" s="340"/>
      <c r="AE4675" s="340"/>
      <c r="AI4675" s="340"/>
      <c r="AN4675" s="340"/>
      <c r="AO4675" s="340"/>
      <c r="AS4675" s="340"/>
      <c r="AX4675" s="340"/>
      <c r="BB4675" s="340"/>
      <c r="BD4675" s="339"/>
    </row>
    <row r="4676" spans="7:56" s="338" customFormat="1">
      <c r="G4676" s="340"/>
      <c r="L4676" s="340"/>
      <c r="P4676" s="340"/>
      <c r="U4676" s="340"/>
      <c r="V4676" s="340"/>
      <c r="Z4676" s="340"/>
      <c r="AE4676" s="340"/>
      <c r="AI4676" s="340"/>
      <c r="AN4676" s="340"/>
      <c r="AO4676" s="340"/>
      <c r="AS4676" s="340"/>
      <c r="AX4676" s="340"/>
      <c r="BB4676" s="340"/>
      <c r="BD4676" s="339"/>
    </row>
    <row r="4677" spans="7:56" s="338" customFormat="1">
      <c r="G4677" s="340"/>
      <c r="L4677" s="340"/>
      <c r="P4677" s="340"/>
      <c r="U4677" s="340"/>
      <c r="V4677" s="340"/>
      <c r="Z4677" s="340"/>
      <c r="AE4677" s="340"/>
      <c r="AI4677" s="340"/>
      <c r="AN4677" s="340"/>
      <c r="AO4677" s="340"/>
      <c r="AS4677" s="340"/>
      <c r="AX4677" s="340"/>
      <c r="BB4677" s="340"/>
      <c r="BD4677" s="339"/>
    </row>
    <row r="4678" spans="7:56" s="338" customFormat="1">
      <c r="G4678" s="340"/>
      <c r="L4678" s="340"/>
      <c r="P4678" s="340"/>
      <c r="U4678" s="340"/>
      <c r="V4678" s="340"/>
      <c r="Z4678" s="340"/>
      <c r="AE4678" s="340"/>
      <c r="AI4678" s="340"/>
      <c r="AN4678" s="340"/>
      <c r="AO4678" s="340"/>
      <c r="AS4678" s="340"/>
      <c r="AX4678" s="340"/>
      <c r="BB4678" s="340"/>
      <c r="BD4678" s="339"/>
    </row>
    <row r="4679" spans="7:56" s="338" customFormat="1">
      <c r="G4679" s="340"/>
      <c r="L4679" s="340"/>
      <c r="P4679" s="340"/>
      <c r="U4679" s="340"/>
      <c r="V4679" s="340"/>
      <c r="Z4679" s="340"/>
      <c r="AE4679" s="340"/>
      <c r="AI4679" s="340"/>
      <c r="AN4679" s="340"/>
      <c r="AO4679" s="340"/>
      <c r="AS4679" s="340"/>
      <c r="AX4679" s="340"/>
      <c r="BB4679" s="340"/>
      <c r="BD4679" s="339"/>
    </row>
    <row r="4680" spans="7:56" s="338" customFormat="1">
      <c r="G4680" s="340"/>
      <c r="L4680" s="340"/>
      <c r="P4680" s="340"/>
      <c r="U4680" s="340"/>
      <c r="V4680" s="340"/>
      <c r="Z4680" s="340"/>
      <c r="AE4680" s="340"/>
      <c r="AI4680" s="340"/>
      <c r="AN4680" s="340"/>
      <c r="AO4680" s="340"/>
      <c r="AS4680" s="340"/>
      <c r="AX4680" s="340"/>
      <c r="BB4680" s="340"/>
      <c r="BD4680" s="339"/>
    </row>
    <row r="4681" spans="7:56" s="338" customFormat="1">
      <c r="G4681" s="340"/>
      <c r="L4681" s="340"/>
      <c r="P4681" s="340"/>
      <c r="U4681" s="340"/>
      <c r="V4681" s="340"/>
      <c r="Z4681" s="340"/>
      <c r="AE4681" s="340"/>
      <c r="AI4681" s="340"/>
      <c r="AN4681" s="340"/>
      <c r="AO4681" s="340"/>
      <c r="AS4681" s="340"/>
      <c r="AX4681" s="340"/>
      <c r="BB4681" s="340"/>
      <c r="BD4681" s="339"/>
    </row>
    <row r="4682" spans="7:56" s="338" customFormat="1">
      <c r="G4682" s="340"/>
      <c r="L4682" s="340"/>
      <c r="P4682" s="340"/>
      <c r="U4682" s="340"/>
      <c r="V4682" s="340"/>
      <c r="Z4682" s="340"/>
      <c r="AE4682" s="340"/>
      <c r="AI4682" s="340"/>
      <c r="AN4682" s="340"/>
      <c r="AO4682" s="340"/>
      <c r="AS4682" s="340"/>
      <c r="AX4682" s="340"/>
      <c r="BB4682" s="340"/>
      <c r="BD4682" s="339"/>
    </row>
    <row r="4683" spans="7:56" s="338" customFormat="1">
      <c r="G4683" s="340"/>
      <c r="L4683" s="340"/>
      <c r="P4683" s="340"/>
      <c r="U4683" s="340"/>
      <c r="V4683" s="340"/>
      <c r="Z4683" s="340"/>
      <c r="AE4683" s="340"/>
      <c r="AI4683" s="340"/>
      <c r="AN4683" s="340"/>
      <c r="AO4683" s="340"/>
      <c r="AS4683" s="340"/>
      <c r="AX4683" s="340"/>
      <c r="BB4683" s="340"/>
      <c r="BD4683" s="339"/>
    </row>
    <row r="4684" spans="7:56" s="338" customFormat="1">
      <c r="G4684" s="340"/>
      <c r="L4684" s="340"/>
      <c r="P4684" s="340"/>
      <c r="U4684" s="340"/>
      <c r="V4684" s="340"/>
      <c r="Z4684" s="340"/>
      <c r="AE4684" s="340"/>
      <c r="AI4684" s="340"/>
      <c r="AN4684" s="340"/>
      <c r="AO4684" s="340"/>
      <c r="AS4684" s="340"/>
      <c r="AX4684" s="340"/>
      <c r="BB4684" s="340"/>
      <c r="BD4684" s="339"/>
    </row>
    <row r="4685" spans="7:56" s="338" customFormat="1">
      <c r="G4685" s="340"/>
      <c r="L4685" s="340"/>
      <c r="P4685" s="340"/>
      <c r="U4685" s="340"/>
      <c r="V4685" s="340"/>
      <c r="Z4685" s="340"/>
      <c r="AE4685" s="340"/>
      <c r="AI4685" s="340"/>
      <c r="AN4685" s="340"/>
      <c r="AO4685" s="340"/>
      <c r="AS4685" s="340"/>
      <c r="AX4685" s="340"/>
      <c r="BB4685" s="340"/>
      <c r="BD4685" s="339"/>
    </row>
    <row r="4686" spans="7:56" s="338" customFormat="1">
      <c r="G4686" s="340"/>
      <c r="L4686" s="340"/>
      <c r="P4686" s="340"/>
      <c r="U4686" s="340"/>
      <c r="V4686" s="340"/>
      <c r="Z4686" s="340"/>
      <c r="AE4686" s="340"/>
      <c r="AI4686" s="340"/>
      <c r="AN4686" s="340"/>
      <c r="AO4686" s="340"/>
      <c r="AS4686" s="340"/>
      <c r="AX4686" s="340"/>
      <c r="BB4686" s="340"/>
      <c r="BD4686" s="339"/>
    </row>
    <row r="4687" spans="7:56" s="338" customFormat="1">
      <c r="G4687" s="340"/>
      <c r="L4687" s="340"/>
      <c r="P4687" s="340"/>
      <c r="U4687" s="340"/>
      <c r="V4687" s="340"/>
      <c r="Z4687" s="340"/>
      <c r="AE4687" s="340"/>
      <c r="AI4687" s="340"/>
      <c r="AN4687" s="340"/>
      <c r="AO4687" s="340"/>
      <c r="AS4687" s="340"/>
      <c r="AX4687" s="340"/>
      <c r="BB4687" s="340"/>
      <c r="BD4687" s="339"/>
    </row>
    <row r="4688" spans="7:56" s="338" customFormat="1">
      <c r="G4688" s="340"/>
      <c r="L4688" s="340"/>
      <c r="P4688" s="340"/>
      <c r="U4688" s="340"/>
      <c r="V4688" s="340"/>
      <c r="Z4688" s="340"/>
      <c r="AE4688" s="340"/>
      <c r="AI4688" s="340"/>
      <c r="AN4688" s="340"/>
      <c r="AO4688" s="340"/>
      <c r="AS4688" s="340"/>
      <c r="AX4688" s="340"/>
      <c r="BB4688" s="340"/>
      <c r="BD4688" s="339"/>
    </row>
    <row r="4689" spans="7:56" s="338" customFormat="1">
      <c r="G4689" s="340"/>
      <c r="L4689" s="340"/>
      <c r="P4689" s="340"/>
      <c r="U4689" s="340"/>
      <c r="V4689" s="340"/>
      <c r="Z4689" s="340"/>
      <c r="AE4689" s="340"/>
      <c r="AI4689" s="340"/>
      <c r="AN4689" s="340"/>
      <c r="AO4689" s="340"/>
      <c r="AS4689" s="340"/>
      <c r="AX4689" s="340"/>
      <c r="BB4689" s="340"/>
      <c r="BD4689" s="339"/>
    </row>
    <row r="4690" spans="7:56" s="338" customFormat="1">
      <c r="G4690" s="340"/>
      <c r="L4690" s="340"/>
      <c r="P4690" s="340"/>
      <c r="U4690" s="340"/>
      <c r="V4690" s="340"/>
      <c r="Z4690" s="340"/>
      <c r="AE4690" s="340"/>
      <c r="AI4690" s="340"/>
      <c r="AN4690" s="340"/>
      <c r="AO4690" s="340"/>
      <c r="AS4690" s="340"/>
      <c r="AX4690" s="340"/>
      <c r="BB4690" s="340"/>
      <c r="BD4690" s="339"/>
    </row>
    <row r="4691" spans="7:56" s="338" customFormat="1">
      <c r="G4691" s="340"/>
      <c r="L4691" s="340"/>
      <c r="P4691" s="340"/>
      <c r="U4691" s="340"/>
      <c r="V4691" s="340"/>
      <c r="Z4691" s="340"/>
      <c r="AE4691" s="340"/>
      <c r="AI4691" s="340"/>
      <c r="AN4691" s="340"/>
      <c r="AO4691" s="340"/>
      <c r="AS4691" s="340"/>
      <c r="AX4691" s="340"/>
      <c r="BB4691" s="340"/>
      <c r="BD4691" s="339"/>
    </row>
    <row r="4692" spans="7:56" s="338" customFormat="1">
      <c r="G4692" s="340"/>
      <c r="L4692" s="340"/>
      <c r="P4692" s="340"/>
      <c r="U4692" s="340"/>
      <c r="V4692" s="340"/>
      <c r="Z4692" s="340"/>
      <c r="AE4692" s="340"/>
      <c r="AI4692" s="340"/>
      <c r="AN4692" s="340"/>
      <c r="AO4692" s="340"/>
      <c r="AS4692" s="340"/>
      <c r="AX4692" s="340"/>
      <c r="BB4692" s="340"/>
      <c r="BD4692" s="339"/>
    </row>
    <row r="4693" spans="7:56" s="338" customFormat="1">
      <c r="G4693" s="340"/>
      <c r="L4693" s="340"/>
      <c r="P4693" s="340"/>
      <c r="U4693" s="340"/>
      <c r="V4693" s="340"/>
      <c r="Z4693" s="340"/>
      <c r="AE4693" s="340"/>
      <c r="AI4693" s="340"/>
      <c r="AN4693" s="340"/>
      <c r="AO4693" s="340"/>
      <c r="AS4693" s="340"/>
      <c r="AX4693" s="340"/>
      <c r="BB4693" s="340"/>
      <c r="BD4693" s="339"/>
    </row>
    <row r="4694" spans="7:56" s="338" customFormat="1">
      <c r="G4694" s="340"/>
      <c r="L4694" s="340"/>
      <c r="P4694" s="340"/>
      <c r="U4694" s="340"/>
      <c r="V4694" s="340"/>
      <c r="Z4694" s="340"/>
      <c r="AE4694" s="340"/>
      <c r="AI4694" s="340"/>
      <c r="AN4694" s="340"/>
      <c r="AO4694" s="340"/>
      <c r="AS4694" s="340"/>
      <c r="AX4694" s="340"/>
      <c r="BB4694" s="340"/>
      <c r="BD4694" s="339"/>
    </row>
    <row r="4695" spans="7:56" s="338" customFormat="1">
      <c r="G4695" s="340"/>
      <c r="L4695" s="340"/>
      <c r="P4695" s="340"/>
      <c r="U4695" s="340"/>
      <c r="V4695" s="340"/>
      <c r="Z4695" s="340"/>
      <c r="AE4695" s="340"/>
      <c r="AI4695" s="340"/>
      <c r="AN4695" s="340"/>
      <c r="AO4695" s="340"/>
      <c r="AS4695" s="340"/>
      <c r="AX4695" s="340"/>
      <c r="BB4695" s="340"/>
      <c r="BD4695" s="339"/>
    </row>
    <row r="4696" spans="7:56" s="338" customFormat="1">
      <c r="G4696" s="340"/>
      <c r="L4696" s="340"/>
      <c r="P4696" s="340"/>
      <c r="U4696" s="340"/>
      <c r="V4696" s="340"/>
      <c r="Z4696" s="340"/>
      <c r="AE4696" s="340"/>
      <c r="AI4696" s="340"/>
      <c r="AN4696" s="340"/>
      <c r="AO4696" s="340"/>
      <c r="AS4696" s="340"/>
      <c r="AX4696" s="340"/>
      <c r="BB4696" s="340"/>
      <c r="BD4696" s="339"/>
    </row>
    <row r="4697" spans="7:56" s="338" customFormat="1">
      <c r="G4697" s="340"/>
      <c r="L4697" s="340"/>
      <c r="P4697" s="340"/>
      <c r="U4697" s="340"/>
      <c r="V4697" s="340"/>
      <c r="Z4697" s="340"/>
      <c r="AE4697" s="340"/>
      <c r="AI4697" s="340"/>
      <c r="AN4697" s="340"/>
      <c r="AO4697" s="340"/>
      <c r="AS4697" s="340"/>
      <c r="AX4697" s="340"/>
      <c r="BB4697" s="340"/>
      <c r="BD4697" s="339"/>
    </row>
    <row r="4698" spans="7:56" s="338" customFormat="1">
      <c r="G4698" s="340"/>
      <c r="L4698" s="340"/>
      <c r="P4698" s="340"/>
      <c r="U4698" s="340"/>
      <c r="V4698" s="340"/>
      <c r="Z4698" s="340"/>
      <c r="AE4698" s="340"/>
      <c r="AI4698" s="340"/>
      <c r="AN4698" s="340"/>
      <c r="AO4698" s="340"/>
      <c r="AS4698" s="340"/>
      <c r="AX4698" s="340"/>
      <c r="BB4698" s="340"/>
      <c r="BD4698" s="339"/>
    </row>
    <row r="4699" spans="7:56" s="338" customFormat="1">
      <c r="G4699" s="340"/>
      <c r="L4699" s="340"/>
      <c r="P4699" s="340"/>
      <c r="U4699" s="340"/>
      <c r="V4699" s="340"/>
      <c r="Z4699" s="340"/>
      <c r="AE4699" s="340"/>
      <c r="AI4699" s="340"/>
      <c r="AN4699" s="340"/>
      <c r="AO4699" s="340"/>
      <c r="AS4699" s="340"/>
      <c r="AX4699" s="340"/>
      <c r="BB4699" s="340"/>
      <c r="BD4699" s="339"/>
    </row>
    <row r="4700" spans="7:56" s="338" customFormat="1">
      <c r="G4700" s="340"/>
      <c r="L4700" s="340"/>
      <c r="P4700" s="340"/>
      <c r="U4700" s="340"/>
      <c r="V4700" s="340"/>
      <c r="Z4700" s="340"/>
      <c r="AE4700" s="340"/>
      <c r="AI4700" s="340"/>
      <c r="AN4700" s="340"/>
      <c r="AO4700" s="340"/>
      <c r="AS4700" s="340"/>
      <c r="AX4700" s="340"/>
      <c r="BB4700" s="340"/>
      <c r="BD4700" s="339"/>
    </row>
    <row r="4701" spans="7:56" s="338" customFormat="1">
      <c r="G4701" s="340"/>
      <c r="L4701" s="340"/>
      <c r="P4701" s="340"/>
      <c r="U4701" s="340"/>
      <c r="V4701" s="340"/>
      <c r="Z4701" s="340"/>
      <c r="AE4701" s="340"/>
      <c r="AI4701" s="340"/>
      <c r="AN4701" s="340"/>
      <c r="AO4701" s="340"/>
      <c r="AS4701" s="340"/>
      <c r="AX4701" s="340"/>
      <c r="BB4701" s="340"/>
      <c r="BD4701" s="339"/>
    </row>
    <row r="4702" spans="7:56" s="338" customFormat="1">
      <c r="G4702" s="340"/>
      <c r="L4702" s="340"/>
      <c r="P4702" s="340"/>
      <c r="U4702" s="340"/>
      <c r="V4702" s="340"/>
      <c r="Z4702" s="340"/>
      <c r="AE4702" s="340"/>
      <c r="AI4702" s="340"/>
      <c r="AN4702" s="340"/>
      <c r="AO4702" s="340"/>
      <c r="AS4702" s="340"/>
      <c r="AX4702" s="340"/>
      <c r="BB4702" s="340"/>
      <c r="BD4702" s="339"/>
    </row>
    <row r="4703" spans="7:56" s="338" customFormat="1">
      <c r="G4703" s="340"/>
      <c r="L4703" s="340"/>
      <c r="P4703" s="340"/>
      <c r="U4703" s="340"/>
      <c r="V4703" s="340"/>
      <c r="Z4703" s="340"/>
      <c r="AE4703" s="340"/>
      <c r="AI4703" s="340"/>
      <c r="AN4703" s="340"/>
      <c r="AO4703" s="340"/>
      <c r="AS4703" s="340"/>
      <c r="AX4703" s="340"/>
      <c r="BB4703" s="340"/>
      <c r="BD4703" s="339"/>
    </row>
    <row r="4704" spans="7:56" s="338" customFormat="1">
      <c r="G4704" s="340"/>
      <c r="L4704" s="340"/>
      <c r="P4704" s="340"/>
      <c r="U4704" s="340"/>
      <c r="V4704" s="340"/>
      <c r="Z4704" s="340"/>
      <c r="AE4704" s="340"/>
      <c r="AI4704" s="340"/>
      <c r="AN4704" s="340"/>
      <c r="AO4704" s="340"/>
      <c r="AS4704" s="340"/>
      <c r="AX4704" s="340"/>
      <c r="BB4704" s="340"/>
      <c r="BD4704" s="339"/>
    </row>
    <row r="4705" spans="7:56" s="338" customFormat="1">
      <c r="G4705" s="340"/>
      <c r="L4705" s="340"/>
      <c r="P4705" s="340"/>
      <c r="U4705" s="340"/>
      <c r="V4705" s="340"/>
      <c r="Z4705" s="340"/>
      <c r="AE4705" s="340"/>
      <c r="AI4705" s="340"/>
      <c r="AN4705" s="340"/>
      <c r="AO4705" s="340"/>
      <c r="AS4705" s="340"/>
      <c r="AX4705" s="340"/>
      <c r="BB4705" s="340"/>
      <c r="BD4705" s="339"/>
    </row>
    <row r="4706" spans="7:56" s="338" customFormat="1">
      <c r="G4706" s="340"/>
      <c r="L4706" s="340"/>
      <c r="P4706" s="340"/>
      <c r="U4706" s="340"/>
      <c r="V4706" s="340"/>
      <c r="Z4706" s="340"/>
      <c r="AE4706" s="340"/>
      <c r="AI4706" s="340"/>
      <c r="AN4706" s="340"/>
      <c r="AO4706" s="340"/>
      <c r="AS4706" s="340"/>
      <c r="AX4706" s="340"/>
      <c r="BB4706" s="340"/>
      <c r="BD4706" s="339"/>
    </row>
    <row r="4707" spans="7:56" s="338" customFormat="1">
      <c r="G4707" s="340"/>
      <c r="L4707" s="340"/>
      <c r="P4707" s="340"/>
      <c r="U4707" s="340"/>
      <c r="V4707" s="340"/>
      <c r="Z4707" s="340"/>
      <c r="AE4707" s="340"/>
      <c r="AI4707" s="340"/>
      <c r="AN4707" s="340"/>
      <c r="AO4707" s="340"/>
      <c r="AS4707" s="340"/>
      <c r="AX4707" s="340"/>
      <c r="BB4707" s="340"/>
      <c r="BD4707" s="339"/>
    </row>
    <row r="4708" spans="7:56" s="338" customFormat="1">
      <c r="G4708" s="340"/>
      <c r="L4708" s="340"/>
      <c r="P4708" s="340"/>
      <c r="U4708" s="340"/>
      <c r="V4708" s="340"/>
      <c r="Z4708" s="340"/>
      <c r="AE4708" s="340"/>
      <c r="AI4708" s="340"/>
      <c r="AN4708" s="340"/>
      <c r="AO4708" s="340"/>
      <c r="AS4708" s="340"/>
      <c r="AX4708" s="340"/>
      <c r="BB4708" s="340"/>
      <c r="BD4708" s="339"/>
    </row>
    <row r="4709" spans="7:56" s="338" customFormat="1">
      <c r="G4709" s="340"/>
      <c r="L4709" s="340"/>
      <c r="P4709" s="340"/>
      <c r="U4709" s="340"/>
      <c r="V4709" s="340"/>
      <c r="Z4709" s="340"/>
      <c r="AE4709" s="340"/>
      <c r="AI4709" s="340"/>
      <c r="AN4709" s="340"/>
      <c r="AO4709" s="340"/>
      <c r="AS4709" s="340"/>
      <c r="AX4709" s="340"/>
      <c r="BB4709" s="340"/>
      <c r="BD4709" s="339"/>
    </row>
    <row r="4710" spans="7:56" s="338" customFormat="1">
      <c r="G4710" s="340"/>
      <c r="L4710" s="340"/>
      <c r="P4710" s="340"/>
      <c r="U4710" s="340"/>
      <c r="V4710" s="340"/>
      <c r="Z4710" s="340"/>
      <c r="AE4710" s="340"/>
      <c r="AI4710" s="340"/>
      <c r="AN4710" s="340"/>
      <c r="AO4710" s="340"/>
      <c r="AS4710" s="340"/>
      <c r="AX4710" s="340"/>
      <c r="BB4710" s="340"/>
      <c r="BD4710" s="339"/>
    </row>
    <row r="4711" spans="7:56" s="338" customFormat="1">
      <c r="G4711" s="340"/>
      <c r="L4711" s="340"/>
      <c r="P4711" s="340"/>
      <c r="U4711" s="340"/>
      <c r="V4711" s="340"/>
      <c r="Z4711" s="340"/>
      <c r="AE4711" s="340"/>
      <c r="AI4711" s="340"/>
      <c r="AN4711" s="340"/>
      <c r="AO4711" s="340"/>
      <c r="AS4711" s="340"/>
      <c r="AX4711" s="340"/>
      <c r="BB4711" s="340"/>
      <c r="BD4711" s="339"/>
    </row>
    <row r="4712" spans="7:56" s="338" customFormat="1">
      <c r="G4712" s="340"/>
      <c r="L4712" s="340"/>
      <c r="P4712" s="340"/>
      <c r="U4712" s="340"/>
      <c r="V4712" s="340"/>
      <c r="Z4712" s="340"/>
      <c r="AE4712" s="340"/>
      <c r="AI4712" s="340"/>
      <c r="AN4712" s="340"/>
      <c r="AO4712" s="340"/>
      <c r="AS4712" s="340"/>
      <c r="AX4712" s="340"/>
      <c r="BB4712" s="340"/>
      <c r="BD4712" s="339"/>
    </row>
    <row r="4713" spans="7:56" s="338" customFormat="1">
      <c r="G4713" s="340"/>
      <c r="L4713" s="340"/>
      <c r="P4713" s="340"/>
      <c r="U4713" s="340"/>
      <c r="V4713" s="340"/>
      <c r="Z4713" s="340"/>
      <c r="AE4713" s="340"/>
      <c r="AI4713" s="340"/>
      <c r="AN4713" s="340"/>
      <c r="AO4713" s="340"/>
      <c r="AS4713" s="340"/>
      <c r="AX4713" s="340"/>
      <c r="BB4713" s="340"/>
      <c r="BD4713" s="339"/>
    </row>
    <row r="4714" spans="7:56" s="338" customFormat="1">
      <c r="G4714" s="340"/>
      <c r="L4714" s="340"/>
      <c r="P4714" s="340"/>
      <c r="U4714" s="340"/>
      <c r="V4714" s="340"/>
      <c r="Z4714" s="340"/>
      <c r="AE4714" s="340"/>
      <c r="AI4714" s="340"/>
      <c r="AN4714" s="340"/>
      <c r="AO4714" s="340"/>
      <c r="AS4714" s="340"/>
      <c r="AX4714" s="340"/>
      <c r="BB4714" s="340"/>
      <c r="BD4714" s="339"/>
    </row>
    <row r="4715" spans="7:56" s="338" customFormat="1">
      <c r="G4715" s="340"/>
      <c r="L4715" s="340"/>
      <c r="P4715" s="340"/>
      <c r="U4715" s="340"/>
      <c r="V4715" s="340"/>
      <c r="Z4715" s="340"/>
      <c r="AE4715" s="340"/>
      <c r="AI4715" s="340"/>
      <c r="AN4715" s="340"/>
      <c r="AO4715" s="340"/>
      <c r="AS4715" s="340"/>
      <c r="AX4715" s="340"/>
      <c r="BB4715" s="340"/>
      <c r="BD4715" s="339"/>
    </row>
    <row r="4716" spans="7:56" s="338" customFormat="1">
      <c r="G4716" s="340"/>
      <c r="L4716" s="340"/>
      <c r="P4716" s="340"/>
      <c r="U4716" s="340"/>
      <c r="V4716" s="340"/>
      <c r="Z4716" s="340"/>
      <c r="AE4716" s="340"/>
      <c r="AI4716" s="340"/>
      <c r="AN4716" s="340"/>
      <c r="AO4716" s="340"/>
      <c r="AS4716" s="340"/>
      <c r="AX4716" s="340"/>
      <c r="BB4716" s="340"/>
      <c r="BD4716" s="339"/>
    </row>
    <row r="4717" spans="7:56" s="338" customFormat="1">
      <c r="G4717" s="340"/>
      <c r="L4717" s="340"/>
      <c r="P4717" s="340"/>
      <c r="U4717" s="340"/>
      <c r="V4717" s="340"/>
      <c r="Z4717" s="340"/>
      <c r="AE4717" s="340"/>
      <c r="AI4717" s="340"/>
      <c r="AN4717" s="340"/>
      <c r="AO4717" s="340"/>
      <c r="AS4717" s="340"/>
      <c r="AX4717" s="340"/>
      <c r="BB4717" s="340"/>
      <c r="BD4717" s="339"/>
    </row>
    <row r="4718" spans="7:56" s="338" customFormat="1">
      <c r="G4718" s="340"/>
      <c r="L4718" s="340"/>
      <c r="P4718" s="340"/>
      <c r="U4718" s="340"/>
      <c r="V4718" s="340"/>
      <c r="Z4718" s="340"/>
      <c r="AE4718" s="340"/>
      <c r="AI4718" s="340"/>
      <c r="AN4718" s="340"/>
      <c r="AO4718" s="340"/>
      <c r="AS4718" s="340"/>
      <c r="AX4718" s="340"/>
      <c r="BB4718" s="340"/>
      <c r="BD4718" s="339"/>
    </row>
    <row r="4719" spans="7:56" s="338" customFormat="1">
      <c r="G4719" s="340"/>
      <c r="L4719" s="340"/>
      <c r="P4719" s="340"/>
      <c r="U4719" s="340"/>
      <c r="V4719" s="340"/>
      <c r="Z4719" s="340"/>
      <c r="AE4719" s="340"/>
      <c r="AI4719" s="340"/>
      <c r="AN4719" s="340"/>
      <c r="AO4719" s="340"/>
      <c r="AS4719" s="340"/>
      <c r="AX4719" s="340"/>
      <c r="BB4719" s="340"/>
      <c r="BD4719" s="339"/>
    </row>
    <row r="4720" spans="7:56" s="338" customFormat="1">
      <c r="G4720" s="340"/>
      <c r="L4720" s="340"/>
      <c r="P4720" s="340"/>
      <c r="U4720" s="340"/>
      <c r="V4720" s="340"/>
      <c r="Z4720" s="340"/>
      <c r="AE4720" s="340"/>
      <c r="AI4720" s="340"/>
      <c r="AN4720" s="340"/>
      <c r="AO4720" s="340"/>
      <c r="AS4720" s="340"/>
      <c r="AX4720" s="340"/>
      <c r="BB4720" s="340"/>
      <c r="BD4720" s="339"/>
    </row>
    <row r="4721" spans="7:56" s="338" customFormat="1">
      <c r="G4721" s="340"/>
      <c r="L4721" s="340"/>
      <c r="P4721" s="340"/>
      <c r="U4721" s="340"/>
      <c r="V4721" s="340"/>
      <c r="Z4721" s="340"/>
      <c r="AE4721" s="340"/>
      <c r="AI4721" s="340"/>
      <c r="AN4721" s="340"/>
      <c r="AO4721" s="340"/>
      <c r="AS4721" s="340"/>
      <c r="AX4721" s="340"/>
      <c r="BB4721" s="340"/>
      <c r="BD4721" s="339"/>
    </row>
    <row r="4722" spans="7:56" s="338" customFormat="1">
      <c r="G4722" s="340"/>
      <c r="L4722" s="340"/>
      <c r="P4722" s="340"/>
      <c r="U4722" s="340"/>
      <c r="V4722" s="340"/>
      <c r="Z4722" s="340"/>
      <c r="AE4722" s="340"/>
      <c r="AI4722" s="340"/>
      <c r="AN4722" s="340"/>
      <c r="AO4722" s="340"/>
      <c r="AS4722" s="340"/>
      <c r="AX4722" s="340"/>
      <c r="BB4722" s="340"/>
      <c r="BD4722" s="339"/>
    </row>
    <row r="4723" spans="7:56" s="338" customFormat="1">
      <c r="G4723" s="340"/>
      <c r="L4723" s="340"/>
      <c r="P4723" s="340"/>
      <c r="U4723" s="340"/>
      <c r="V4723" s="340"/>
      <c r="Z4723" s="340"/>
      <c r="AE4723" s="340"/>
      <c r="AI4723" s="340"/>
      <c r="AN4723" s="340"/>
      <c r="AO4723" s="340"/>
      <c r="AS4723" s="340"/>
      <c r="AX4723" s="340"/>
      <c r="BB4723" s="340"/>
      <c r="BD4723" s="339"/>
    </row>
    <row r="4724" spans="7:56" s="338" customFormat="1">
      <c r="G4724" s="340"/>
      <c r="L4724" s="340"/>
      <c r="P4724" s="340"/>
      <c r="U4724" s="340"/>
      <c r="V4724" s="340"/>
      <c r="Z4724" s="340"/>
      <c r="AE4724" s="340"/>
      <c r="AI4724" s="340"/>
      <c r="AN4724" s="340"/>
      <c r="AO4724" s="340"/>
      <c r="AS4724" s="340"/>
      <c r="AX4724" s="340"/>
      <c r="BB4724" s="340"/>
      <c r="BD4724" s="339"/>
    </row>
    <row r="4725" spans="7:56" s="338" customFormat="1">
      <c r="G4725" s="340"/>
      <c r="L4725" s="340"/>
      <c r="P4725" s="340"/>
      <c r="U4725" s="340"/>
      <c r="V4725" s="340"/>
      <c r="Z4725" s="340"/>
      <c r="AE4725" s="340"/>
      <c r="AI4725" s="340"/>
      <c r="AN4725" s="340"/>
      <c r="AO4725" s="340"/>
      <c r="AS4725" s="340"/>
      <c r="AX4725" s="340"/>
      <c r="BB4725" s="340"/>
      <c r="BD4725" s="339"/>
    </row>
    <row r="4726" spans="7:56" s="338" customFormat="1">
      <c r="G4726" s="340"/>
      <c r="L4726" s="340"/>
      <c r="P4726" s="340"/>
      <c r="U4726" s="340"/>
      <c r="V4726" s="340"/>
      <c r="Z4726" s="340"/>
      <c r="AE4726" s="340"/>
      <c r="AI4726" s="340"/>
      <c r="AN4726" s="340"/>
      <c r="AO4726" s="340"/>
      <c r="AS4726" s="340"/>
      <c r="AX4726" s="340"/>
      <c r="BB4726" s="340"/>
      <c r="BD4726" s="339"/>
    </row>
    <row r="4727" spans="7:56" s="338" customFormat="1">
      <c r="G4727" s="340"/>
      <c r="L4727" s="340"/>
      <c r="P4727" s="340"/>
      <c r="U4727" s="340"/>
      <c r="V4727" s="340"/>
      <c r="Z4727" s="340"/>
      <c r="AE4727" s="340"/>
      <c r="AI4727" s="340"/>
      <c r="AN4727" s="340"/>
      <c r="AO4727" s="340"/>
      <c r="AS4727" s="340"/>
      <c r="AX4727" s="340"/>
      <c r="BB4727" s="340"/>
      <c r="BD4727" s="339"/>
    </row>
    <row r="4728" spans="7:56" s="338" customFormat="1">
      <c r="G4728" s="340"/>
      <c r="L4728" s="340"/>
      <c r="P4728" s="340"/>
      <c r="U4728" s="340"/>
      <c r="V4728" s="340"/>
      <c r="Z4728" s="340"/>
      <c r="AE4728" s="340"/>
      <c r="AI4728" s="340"/>
      <c r="AN4728" s="340"/>
      <c r="AO4728" s="340"/>
      <c r="AS4728" s="340"/>
      <c r="AX4728" s="340"/>
      <c r="BB4728" s="340"/>
      <c r="BD4728" s="339"/>
    </row>
    <row r="4729" spans="7:56" s="338" customFormat="1">
      <c r="G4729" s="340"/>
      <c r="L4729" s="340"/>
      <c r="P4729" s="340"/>
      <c r="U4729" s="340"/>
      <c r="V4729" s="340"/>
      <c r="Z4729" s="340"/>
      <c r="AE4729" s="340"/>
      <c r="AI4729" s="340"/>
      <c r="AN4729" s="340"/>
      <c r="AO4729" s="340"/>
      <c r="AS4729" s="340"/>
      <c r="AX4729" s="340"/>
      <c r="BB4729" s="340"/>
      <c r="BD4729" s="339"/>
    </row>
    <row r="4730" spans="7:56" s="338" customFormat="1">
      <c r="G4730" s="340"/>
      <c r="L4730" s="340"/>
      <c r="P4730" s="340"/>
      <c r="U4730" s="340"/>
      <c r="V4730" s="340"/>
      <c r="Z4730" s="340"/>
      <c r="AE4730" s="340"/>
      <c r="AI4730" s="340"/>
      <c r="AN4730" s="340"/>
      <c r="AO4730" s="340"/>
      <c r="AS4730" s="340"/>
      <c r="AX4730" s="340"/>
      <c r="BB4730" s="340"/>
      <c r="BD4730" s="339"/>
    </row>
    <row r="4731" spans="7:56" s="338" customFormat="1">
      <c r="G4731" s="340"/>
      <c r="L4731" s="340"/>
      <c r="P4731" s="340"/>
      <c r="U4731" s="340"/>
      <c r="V4731" s="340"/>
      <c r="Z4731" s="340"/>
      <c r="AE4731" s="340"/>
      <c r="AI4731" s="340"/>
      <c r="AN4731" s="340"/>
      <c r="AO4731" s="340"/>
      <c r="AS4731" s="340"/>
      <c r="AX4731" s="340"/>
      <c r="BB4731" s="340"/>
      <c r="BD4731" s="339"/>
    </row>
    <row r="4732" spans="7:56" s="338" customFormat="1">
      <c r="G4732" s="340"/>
      <c r="L4732" s="340"/>
      <c r="P4732" s="340"/>
      <c r="U4732" s="340"/>
      <c r="V4732" s="340"/>
      <c r="Z4732" s="340"/>
      <c r="AE4732" s="340"/>
      <c r="AI4732" s="340"/>
      <c r="AN4732" s="340"/>
      <c r="AO4732" s="340"/>
      <c r="AS4732" s="340"/>
      <c r="AX4732" s="340"/>
      <c r="BB4732" s="340"/>
      <c r="BD4732" s="339"/>
    </row>
    <row r="4733" spans="7:56" s="338" customFormat="1">
      <c r="G4733" s="340"/>
      <c r="L4733" s="340"/>
      <c r="P4733" s="340"/>
      <c r="U4733" s="340"/>
      <c r="V4733" s="340"/>
      <c r="Z4733" s="340"/>
      <c r="AE4733" s="340"/>
      <c r="AI4733" s="340"/>
      <c r="AN4733" s="340"/>
      <c r="AO4733" s="340"/>
      <c r="AS4733" s="340"/>
      <c r="AX4733" s="340"/>
      <c r="BB4733" s="340"/>
      <c r="BD4733" s="339"/>
    </row>
    <row r="4734" spans="7:56" s="338" customFormat="1">
      <c r="G4734" s="340"/>
      <c r="L4734" s="340"/>
      <c r="P4734" s="340"/>
      <c r="U4734" s="340"/>
      <c r="V4734" s="340"/>
      <c r="Z4734" s="340"/>
      <c r="AE4734" s="340"/>
      <c r="AI4734" s="340"/>
      <c r="AN4734" s="340"/>
      <c r="AO4734" s="340"/>
      <c r="AS4734" s="340"/>
      <c r="AX4734" s="340"/>
      <c r="BB4734" s="340"/>
      <c r="BD4734" s="339"/>
    </row>
    <row r="4735" spans="7:56" s="338" customFormat="1">
      <c r="G4735" s="340"/>
      <c r="L4735" s="340"/>
      <c r="P4735" s="340"/>
      <c r="U4735" s="340"/>
      <c r="V4735" s="340"/>
      <c r="Z4735" s="340"/>
      <c r="AE4735" s="340"/>
      <c r="AI4735" s="340"/>
      <c r="AN4735" s="340"/>
      <c r="AO4735" s="340"/>
      <c r="AS4735" s="340"/>
      <c r="AX4735" s="340"/>
      <c r="BB4735" s="340"/>
      <c r="BD4735" s="339"/>
    </row>
    <row r="4736" spans="7:56" s="338" customFormat="1">
      <c r="G4736" s="340"/>
      <c r="L4736" s="340"/>
      <c r="P4736" s="340"/>
      <c r="U4736" s="340"/>
      <c r="V4736" s="340"/>
      <c r="Z4736" s="340"/>
      <c r="AE4736" s="340"/>
      <c r="AI4736" s="340"/>
      <c r="AN4736" s="340"/>
      <c r="AO4736" s="340"/>
      <c r="AS4736" s="340"/>
      <c r="AX4736" s="340"/>
      <c r="BB4736" s="340"/>
      <c r="BD4736" s="339"/>
    </row>
    <row r="4737" spans="7:56" s="338" customFormat="1">
      <c r="G4737" s="340"/>
      <c r="L4737" s="340"/>
      <c r="P4737" s="340"/>
      <c r="U4737" s="340"/>
      <c r="V4737" s="340"/>
      <c r="Z4737" s="340"/>
      <c r="AE4737" s="340"/>
      <c r="AI4737" s="340"/>
      <c r="AN4737" s="340"/>
      <c r="AO4737" s="340"/>
      <c r="AS4737" s="340"/>
      <c r="AX4737" s="340"/>
      <c r="BB4737" s="340"/>
      <c r="BD4737" s="339"/>
    </row>
    <row r="4738" spans="7:56" s="338" customFormat="1">
      <c r="G4738" s="340"/>
      <c r="L4738" s="340"/>
      <c r="P4738" s="340"/>
      <c r="U4738" s="340"/>
      <c r="V4738" s="340"/>
      <c r="Z4738" s="340"/>
      <c r="AE4738" s="340"/>
      <c r="AI4738" s="340"/>
      <c r="AN4738" s="340"/>
      <c r="AO4738" s="340"/>
      <c r="AS4738" s="340"/>
      <c r="AX4738" s="340"/>
      <c r="BB4738" s="340"/>
      <c r="BD4738" s="339"/>
    </row>
    <row r="4739" spans="7:56" s="338" customFormat="1">
      <c r="G4739" s="340"/>
      <c r="L4739" s="340"/>
      <c r="P4739" s="340"/>
      <c r="U4739" s="340"/>
      <c r="V4739" s="340"/>
      <c r="Z4739" s="340"/>
      <c r="AE4739" s="340"/>
      <c r="AI4739" s="340"/>
      <c r="AN4739" s="340"/>
      <c r="AO4739" s="340"/>
      <c r="AS4739" s="340"/>
      <c r="AX4739" s="340"/>
      <c r="BB4739" s="340"/>
      <c r="BD4739" s="339"/>
    </row>
    <row r="4740" spans="7:56" s="338" customFormat="1">
      <c r="G4740" s="340"/>
      <c r="L4740" s="340"/>
      <c r="P4740" s="340"/>
      <c r="U4740" s="340"/>
      <c r="V4740" s="340"/>
      <c r="Z4740" s="340"/>
      <c r="AE4740" s="340"/>
      <c r="AI4740" s="340"/>
      <c r="AN4740" s="340"/>
      <c r="AO4740" s="340"/>
      <c r="AS4740" s="340"/>
      <c r="AX4740" s="340"/>
      <c r="BB4740" s="340"/>
      <c r="BD4740" s="339"/>
    </row>
    <row r="4741" spans="7:56" s="338" customFormat="1">
      <c r="G4741" s="340"/>
      <c r="L4741" s="340"/>
      <c r="P4741" s="340"/>
      <c r="U4741" s="340"/>
      <c r="V4741" s="340"/>
      <c r="Z4741" s="340"/>
      <c r="AE4741" s="340"/>
      <c r="AI4741" s="340"/>
      <c r="AN4741" s="340"/>
      <c r="AO4741" s="340"/>
      <c r="AS4741" s="340"/>
      <c r="AX4741" s="340"/>
      <c r="BB4741" s="340"/>
      <c r="BD4741" s="339"/>
    </row>
    <row r="4742" spans="7:56" s="338" customFormat="1">
      <c r="G4742" s="340"/>
      <c r="L4742" s="340"/>
      <c r="P4742" s="340"/>
      <c r="U4742" s="340"/>
      <c r="V4742" s="340"/>
      <c r="Z4742" s="340"/>
      <c r="AE4742" s="340"/>
      <c r="AI4742" s="340"/>
      <c r="AN4742" s="340"/>
      <c r="AO4742" s="340"/>
      <c r="AS4742" s="340"/>
      <c r="AX4742" s="340"/>
      <c r="BB4742" s="340"/>
      <c r="BD4742" s="339"/>
    </row>
    <row r="4743" spans="7:56" s="338" customFormat="1">
      <c r="G4743" s="340"/>
      <c r="L4743" s="340"/>
      <c r="P4743" s="340"/>
      <c r="U4743" s="340"/>
      <c r="V4743" s="340"/>
      <c r="Z4743" s="340"/>
      <c r="AE4743" s="340"/>
      <c r="AI4743" s="340"/>
      <c r="AN4743" s="340"/>
      <c r="AO4743" s="340"/>
      <c r="AS4743" s="340"/>
      <c r="AX4743" s="340"/>
      <c r="BB4743" s="340"/>
      <c r="BD4743" s="339"/>
    </row>
    <row r="4744" spans="7:56" s="338" customFormat="1">
      <c r="G4744" s="340"/>
      <c r="L4744" s="340"/>
      <c r="P4744" s="340"/>
      <c r="U4744" s="340"/>
      <c r="V4744" s="340"/>
      <c r="Z4744" s="340"/>
      <c r="AE4744" s="340"/>
      <c r="AI4744" s="340"/>
      <c r="AN4744" s="340"/>
      <c r="AO4744" s="340"/>
      <c r="AS4744" s="340"/>
      <c r="AX4744" s="340"/>
      <c r="BB4744" s="340"/>
      <c r="BD4744" s="339"/>
    </row>
    <row r="4745" spans="7:56" s="338" customFormat="1">
      <c r="G4745" s="340"/>
      <c r="L4745" s="340"/>
      <c r="P4745" s="340"/>
      <c r="U4745" s="340"/>
      <c r="V4745" s="340"/>
      <c r="Z4745" s="340"/>
      <c r="AE4745" s="340"/>
      <c r="AI4745" s="340"/>
      <c r="AN4745" s="340"/>
      <c r="AO4745" s="340"/>
      <c r="AS4745" s="340"/>
      <c r="AX4745" s="340"/>
      <c r="BB4745" s="340"/>
      <c r="BD4745" s="339"/>
    </row>
    <row r="4746" spans="7:56" s="338" customFormat="1">
      <c r="G4746" s="340"/>
      <c r="L4746" s="340"/>
      <c r="P4746" s="340"/>
      <c r="U4746" s="340"/>
      <c r="V4746" s="340"/>
      <c r="Z4746" s="340"/>
      <c r="AE4746" s="340"/>
      <c r="AI4746" s="340"/>
      <c r="AN4746" s="340"/>
      <c r="AO4746" s="340"/>
      <c r="AS4746" s="340"/>
      <c r="AX4746" s="340"/>
      <c r="BB4746" s="340"/>
      <c r="BD4746" s="339"/>
    </row>
    <row r="4747" spans="7:56" s="338" customFormat="1">
      <c r="G4747" s="340"/>
      <c r="L4747" s="340"/>
      <c r="P4747" s="340"/>
      <c r="U4747" s="340"/>
      <c r="V4747" s="340"/>
      <c r="Z4747" s="340"/>
      <c r="AE4747" s="340"/>
      <c r="AI4747" s="340"/>
      <c r="AN4747" s="340"/>
      <c r="AO4747" s="340"/>
      <c r="AS4747" s="340"/>
      <c r="AX4747" s="340"/>
      <c r="BB4747" s="340"/>
      <c r="BD4747" s="339"/>
    </row>
    <row r="4748" spans="7:56" s="338" customFormat="1">
      <c r="G4748" s="340"/>
      <c r="L4748" s="340"/>
      <c r="P4748" s="340"/>
      <c r="U4748" s="340"/>
      <c r="V4748" s="340"/>
      <c r="Z4748" s="340"/>
      <c r="AE4748" s="340"/>
      <c r="AI4748" s="340"/>
      <c r="AN4748" s="340"/>
      <c r="AO4748" s="340"/>
      <c r="AS4748" s="340"/>
      <c r="AX4748" s="340"/>
      <c r="BB4748" s="340"/>
      <c r="BD4748" s="339"/>
    </row>
    <row r="4749" spans="7:56" s="338" customFormat="1">
      <c r="G4749" s="340"/>
      <c r="L4749" s="340"/>
      <c r="P4749" s="340"/>
      <c r="U4749" s="340"/>
      <c r="V4749" s="340"/>
      <c r="Z4749" s="340"/>
      <c r="AE4749" s="340"/>
      <c r="AI4749" s="340"/>
      <c r="AN4749" s="340"/>
      <c r="AO4749" s="340"/>
      <c r="AS4749" s="340"/>
      <c r="AX4749" s="340"/>
      <c r="BB4749" s="340"/>
      <c r="BD4749" s="339"/>
    </row>
    <row r="4750" spans="7:56" s="338" customFormat="1">
      <c r="G4750" s="340"/>
      <c r="L4750" s="340"/>
      <c r="P4750" s="340"/>
      <c r="U4750" s="340"/>
      <c r="V4750" s="340"/>
      <c r="Z4750" s="340"/>
      <c r="AE4750" s="340"/>
      <c r="AI4750" s="340"/>
      <c r="AN4750" s="340"/>
      <c r="AO4750" s="340"/>
      <c r="AS4750" s="340"/>
      <c r="AX4750" s="340"/>
      <c r="BB4750" s="340"/>
      <c r="BD4750" s="339"/>
    </row>
    <row r="4751" spans="7:56" s="338" customFormat="1">
      <c r="G4751" s="340"/>
      <c r="L4751" s="340"/>
      <c r="P4751" s="340"/>
      <c r="U4751" s="340"/>
      <c r="V4751" s="340"/>
      <c r="Z4751" s="340"/>
      <c r="AE4751" s="340"/>
      <c r="AI4751" s="340"/>
      <c r="AN4751" s="340"/>
      <c r="AO4751" s="340"/>
      <c r="AS4751" s="340"/>
      <c r="AX4751" s="340"/>
      <c r="BB4751" s="340"/>
      <c r="BD4751" s="339"/>
    </row>
    <row r="4752" spans="7:56" s="338" customFormat="1">
      <c r="G4752" s="340"/>
      <c r="L4752" s="340"/>
      <c r="P4752" s="340"/>
      <c r="U4752" s="340"/>
      <c r="V4752" s="340"/>
      <c r="Z4752" s="340"/>
      <c r="AE4752" s="340"/>
      <c r="AI4752" s="340"/>
      <c r="AN4752" s="340"/>
      <c r="AO4752" s="340"/>
      <c r="AS4752" s="340"/>
      <c r="AX4752" s="340"/>
      <c r="BB4752" s="340"/>
      <c r="BD4752" s="339"/>
    </row>
    <row r="4753" spans="7:56" s="338" customFormat="1">
      <c r="G4753" s="340"/>
      <c r="L4753" s="340"/>
      <c r="P4753" s="340"/>
      <c r="U4753" s="340"/>
      <c r="V4753" s="340"/>
      <c r="Z4753" s="340"/>
      <c r="AE4753" s="340"/>
      <c r="AI4753" s="340"/>
      <c r="AN4753" s="340"/>
      <c r="AO4753" s="340"/>
      <c r="AS4753" s="340"/>
      <c r="AX4753" s="340"/>
      <c r="BB4753" s="340"/>
      <c r="BD4753" s="339"/>
    </row>
    <row r="4754" spans="7:56" s="338" customFormat="1">
      <c r="G4754" s="340"/>
      <c r="L4754" s="340"/>
      <c r="P4754" s="340"/>
      <c r="U4754" s="340"/>
      <c r="V4754" s="340"/>
      <c r="Z4754" s="340"/>
      <c r="AE4754" s="340"/>
      <c r="AI4754" s="340"/>
      <c r="AN4754" s="340"/>
      <c r="AO4754" s="340"/>
      <c r="AS4754" s="340"/>
      <c r="AX4754" s="340"/>
      <c r="BB4754" s="340"/>
      <c r="BD4754" s="339"/>
    </row>
    <row r="4755" spans="7:56" s="338" customFormat="1">
      <c r="G4755" s="340"/>
      <c r="L4755" s="340"/>
      <c r="P4755" s="340"/>
      <c r="U4755" s="340"/>
      <c r="V4755" s="340"/>
      <c r="Z4755" s="340"/>
      <c r="AE4755" s="340"/>
      <c r="AI4755" s="340"/>
      <c r="AN4755" s="340"/>
      <c r="AO4755" s="340"/>
      <c r="AS4755" s="340"/>
      <c r="AX4755" s="340"/>
      <c r="BB4755" s="340"/>
      <c r="BD4755" s="339"/>
    </row>
    <row r="4756" spans="7:56" s="338" customFormat="1">
      <c r="G4756" s="340"/>
      <c r="L4756" s="340"/>
      <c r="P4756" s="340"/>
      <c r="U4756" s="340"/>
      <c r="V4756" s="340"/>
      <c r="Z4756" s="340"/>
      <c r="AE4756" s="340"/>
      <c r="AI4756" s="340"/>
      <c r="AN4756" s="340"/>
      <c r="AO4756" s="340"/>
      <c r="AS4756" s="340"/>
      <c r="AX4756" s="340"/>
      <c r="BB4756" s="340"/>
      <c r="BD4756" s="339"/>
    </row>
    <row r="4757" spans="7:56" s="338" customFormat="1">
      <c r="G4757" s="340"/>
      <c r="L4757" s="340"/>
      <c r="P4757" s="340"/>
      <c r="U4757" s="340"/>
      <c r="V4757" s="340"/>
      <c r="Z4757" s="340"/>
      <c r="AE4757" s="340"/>
      <c r="AI4757" s="340"/>
      <c r="AN4757" s="340"/>
      <c r="AO4757" s="340"/>
      <c r="AS4757" s="340"/>
      <c r="AX4757" s="340"/>
      <c r="BB4757" s="340"/>
      <c r="BD4757" s="339"/>
    </row>
    <row r="4758" spans="7:56" s="338" customFormat="1">
      <c r="G4758" s="340"/>
      <c r="L4758" s="340"/>
      <c r="P4758" s="340"/>
      <c r="U4758" s="340"/>
      <c r="V4758" s="340"/>
      <c r="Z4758" s="340"/>
      <c r="AE4758" s="340"/>
      <c r="AI4758" s="340"/>
      <c r="AN4758" s="340"/>
      <c r="AO4758" s="340"/>
      <c r="AS4758" s="340"/>
      <c r="AX4758" s="340"/>
      <c r="BB4758" s="340"/>
      <c r="BD4758" s="339"/>
    </row>
    <row r="4759" spans="7:56" s="338" customFormat="1">
      <c r="G4759" s="340"/>
      <c r="L4759" s="340"/>
      <c r="P4759" s="340"/>
      <c r="U4759" s="340"/>
      <c r="V4759" s="340"/>
      <c r="Z4759" s="340"/>
      <c r="AE4759" s="340"/>
      <c r="AI4759" s="340"/>
      <c r="AN4759" s="340"/>
      <c r="AO4759" s="340"/>
      <c r="AS4759" s="340"/>
      <c r="AX4759" s="340"/>
      <c r="BB4759" s="340"/>
      <c r="BD4759" s="339"/>
    </row>
    <row r="4760" spans="7:56" s="338" customFormat="1">
      <c r="G4760" s="340"/>
      <c r="L4760" s="340"/>
      <c r="P4760" s="340"/>
      <c r="U4760" s="340"/>
      <c r="V4760" s="340"/>
      <c r="Z4760" s="340"/>
      <c r="AE4760" s="340"/>
      <c r="AI4760" s="340"/>
      <c r="AN4760" s="340"/>
      <c r="AO4760" s="340"/>
      <c r="AS4760" s="340"/>
      <c r="AX4760" s="340"/>
      <c r="BB4760" s="340"/>
      <c r="BD4760" s="339"/>
    </row>
    <row r="4761" spans="7:56" s="338" customFormat="1">
      <c r="G4761" s="340"/>
      <c r="L4761" s="340"/>
      <c r="P4761" s="340"/>
      <c r="U4761" s="340"/>
      <c r="V4761" s="340"/>
      <c r="Z4761" s="340"/>
      <c r="AE4761" s="340"/>
      <c r="AI4761" s="340"/>
      <c r="AN4761" s="340"/>
      <c r="AO4761" s="340"/>
      <c r="AS4761" s="340"/>
      <c r="AX4761" s="340"/>
      <c r="BB4761" s="340"/>
      <c r="BD4761" s="339"/>
    </row>
    <row r="4762" spans="7:56" s="338" customFormat="1">
      <c r="G4762" s="340"/>
      <c r="L4762" s="340"/>
      <c r="P4762" s="340"/>
      <c r="U4762" s="340"/>
      <c r="V4762" s="340"/>
      <c r="Z4762" s="340"/>
      <c r="AE4762" s="340"/>
      <c r="AI4762" s="340"/>
      <c r="AN4762" s="340"/>
      <c r="AO4762" s="340"/>
      <c r="AS4762" s="340"/>
      <c r="AX4762" s="340"/>
      <c r="BB4762" s="340"/>
      <c r="BD4762" s="339"/>
    </row>
    <row r="4763" spans="7:56" s="338" customFormat="1">
      <c r="G4763" s="340"/>
      <c r="L4763" s="340"/>
      <c r="P4763" s="340"/>
      <c r="U4763" s="340"/>
      <c r="V4763" s="340"/>
      <c r="Z4763" s="340"/>
      <c r="AE4763" s="340"/>
      <c r="AI4763" s="340"/>
      <c r="AN4763" s="340"/>
      <c r="AO4763" s="340"/>
      <c r="AS4763" s="340"/>
      <c r="AX4763" s="340"/>
      <c r="BB4763" s="340"/>
      <c r="BD4763" s="339"/>
    </row>
    <row r="4764" spans="7:56" s="338" customFormat="1">
      <c r="G4764" s="340"/>
      <c r="L4764" s="340"/>
      <c r="P4764" s="340"/>
      <c r="U4764" s="340"/>
      <c r="V4764" s="340"/>
      <c r="Z4764" s="340"/>
      <c r="AE4764" s="340"/>
      <c r="AI4764" s="340"/>
      <c r="AN4764" s="340"/>
      <c r="AO4764" s="340"/>
      <c r="AS4764" s="340"/>
      <c r="AX4764" s="340"/>
      <c r="BB4764" s="340"/>
      <c r="BD4764" s="339"/>
    </row>
    <row r="4765" spans="7:56" s="338" customFormat="1">
      <c r="G4765" s="340"/>
      <c r="L4765" s="340"/>
      <c r="P4765" s="340"/>
      <c r="U4765" s="340"/>
      <c r="V4765" s="340"/>
      <c r="Z4765" s="340"/>
      <c r="AE4765" s="340"/>
      <c r="AI4765" s="340"/>
      <c r="AN4765" s="340"/>
      <c r="AO4765" s="340"/>
      <c r="AS4765" s="340"/>
      <c r="AX4765" s="340"/>
      <c r="BB4765" s="340"/>
      <c r="BD4765" s="339"/>
    </row>
    <row r="4766" spans="7:56" s="338" customFormat="1">
      <c r="G4766" s="340"/>
      <c r="L4766" s="340"/>
      <c r="P4766" s="340"/>
      <c r="U4766" s="340"/>
      <c r="V4766" s="340"/>
      <c r="Z4766" s="340"/>
      <c r="AE4766" s="340"/>
      <c r="AI4766" s="340"/>
      <c r="AN4766" s="340"/>
      <c r="AO4766" s="340"/>
      <c r="AS4766" s="340"/>
      <c r="AX4766" s="340"/>
      <c r="BB4766" s="340"/>
      <c r="BD4766" s="339"/>
    </row>
    <row r="4767" spans="7:56" s="338" customFormat="1">
      <c r="G4767" s="340"/>
      <c r="L4767" s="340"/>
      <c r="P4767" s="340"/>
      <c r="U4767" s="340"/>
      <c r="V4767" s="340"/>
      <c r="Z4767" s="340"/>
      <c r="AE4767" s="340"/>
      <c r="AI4767" s="340"/>
      <c r="AN4767" s="340"/>
      <c r="AO4767" s="340"/>
      <c r="AS4767" s="340"/>
      <c r="AX4767" s="340"/>
      <c r="BB4767" s="340"/>
      <c r="BD4767" s="339"/>
    </row>
    <row r="4768" spans="7:56" s="338" customFormat="1">
      <c r="G4768" s="340"/>
      <c r="L4768" s="340"/>
      <c r="P4768" s="340"/>
      <c r="U4768" s="340"/>
      <c r="V4768" s="340"/>
      <c r="Z4768" s="340"/>
      <c r="AE4768" s="340"/>
      <c r="AI4768" s="340"/>
      <c r="AN4768" s="340"/>
      <c r="AO4768" s="340"/>
      <c r="AS4768" s="340"/>
      <c r="AX4768" s="340"/>
      <c r="BB4768" s="340"/>
      <c r="BD4768" s="339"/>
    </row>
    <row r="4769" spans="7:56" s="338" customFormat="1">
      <c r="G4769" s="340"/>
      <c r="L4769" s="340"/>
      <c r="P4769" s="340"/>
      <c r="U4769" s="340"/>
      <c r="V4769" s="340"/>
      <c r="Z4769" s="340"/>
      <c r="AE4769" s="340"/>
      <c r="AI4769" s="340"/>
      <c r="AN4769" s="340"/>
      <c r="AO4769" s="340"/>
      <c r="AS4769" s="340"/>
      <c r="AX4769" s="340"/>
      <c r="BB4769" s="340"/>
      <c r="BD4769" s="339"/>
    </row>
    <row r="4770" spans="7:56" s="338" customFormat="1">
      <c r="G4770" s="340"/>
      <c r="L4770" s="340"/>
      <c r="P4770" s="340"/>
      <c r="U4770" s="340"/>
      <c r="V4770" s="340"/>
      <c r="Z4770" s="340"/>
      <c r="AE4770" s="340"/>
      <c r="AI4770" s="340"/>
      <c r="AN4770" s="340"/>
      <c r="AO4770" s="340"/>
      <c r="AS4770" s="340"/>
      <c r="AX4770" s="340"/>
      <c r="BB4770" s="340"/>
      <c r="BD4770" s="339"/>
    </row>
    <row r="4771" spans="7:56" s="338" customFormat="1">
      <c r="G4771" s="340"/>
      <c r="L4771" s="340"/>
      <c r="P4771" s="340"/>
      <c r="U4771" s="340"/>
      <c r="V4771" s="340"/>
      <c r="Z4771" s="340"/>
      <c r="AE4771" s="340"/>
      <c r="AI4771" s="340"/>
      <c r="AN4771" s="340"/>
      <c r="AO4771" s="340"/>
      <c r="AS4771" s="340"/>
      <c r="AX4771" s="340"/>
      <c r="BB4771" s="340"/>
      <c r="BD4771" s="339"/>
    </row>
    <row r="4772" spans="7:56" s="338" customFormat="1">
      <c r="G4772" s="340"/>
      <c r="L4772" s="340"/>
      <c r="P4772" s="340"/>
      <c r="U4772" s="340"/>
      <c r="V4772" s="340"/>
      <c r="Z4772" s="340"/>
      <c r="AE4772" s="340"/>
      <c r="AI4772" s="340"/>
      <c r="AN4772" s="340"/>
      <c r="AO4772" s="340"/>
      <c r="AS4772" s="340"/>
      <c r="AX4772" s="340"/>
      <c r="BB4772" s="340"/>
      <c r="BD4772" s="339"/>
    </row>
    <row r="4773" spans="7:56" s="338" customFormat="1">
      <c r="G4773" s="340"/>
      <c r="L4773" s="340"/>
      <c r="P4773" s="340"/>
      <c r="U4773" s="340"/>
      <c r="V4773" s="340"/>
      <c r="Z4773" s="340"/>
      <c r="AE4773" s="340"/>
      <c r="AI4773" s="340"/>
      <c r="AN4773" s="340"/>
      <c r="AO4773" s="340"/>
      <c r="AS4773" s="340"/>
      <c r="AX4773" s="340"/>
      <c r="BB4773" s="340"/>
      <c r="BD4773" s="339"/>
    </row>
    <row r="4774" spans="7:56" s="338" customFormat="1">
      <c r="G4774" s="340"/>
      <c r="L4774" s="340"/>
      <c r="P4774" s="340"/>
      <c r="U4774" s="340"/>
      <c r="V4774" s="340"/>
      <c r="Z4774" s="340"/>
      <c r="AE4774" s="340"/>
      <c r="AI4774" s="340"/>
      <c r="AN4774" s="340"/>
      <c r="AO4774" s="340"/>
      <c r="AS4774" s="340"/>
      <c r="AX4774" s="340"/>
      <c r="BB4774" s="340"/>
      <c r="BD4774" s="339"/>
    </row>
    <row r="4775" spans="7:56" s="338" customFormat="1">
      <c r="G4775" s="340"/>
      <c r="L4775" s="340"/>
      <c r="P4775" s="340"/>
      <c r="U4775" s="340"/>
      <c r="V4775" s="340"/>
      <c r="Z4775" s="340"/>
      <c r="AE4775" s="340"/>
      <c r="AI4775" s="340"/>
      <c r="AN4775" s="340"/>
      <c r="AO4775" s="340"/>
      <c r="AS4775" s="340"/>
      <c r="AX4775" s="340"/>
      <c r="BB4775" s="340"/>
      <c r="BD4775" s="339"/>
    </row>
    <row r="4776" spans="7:56" s="338" customFormat="1">
      <c r="G4776" s="340"/>
      <c r="L4776" s="340"/>
      <c r="P4776" s="340"/>
      <c r="U4776" s="340"/>
      <c r="V4776" s="340"/>
      <c r="Z4776" s="340"/>
      <c r="AE4776" s="340"/>
      <c r="AI4776" s="340"/>
      <c r="AN4776" s="340"/>
      <c r="AO4776" s="340"/>
      <c r="AS4776" s="340"/>
      <c r="AX4776" s="340"/>
      <c r="BB4776" s="340"/>
      <c r="BD4776" s="339"/>
    </row>
    <row r="4777" spans="7:56" s="338" customFormat="1">
      <c r="G4777" s="340"/>
      <c r="L4777" s="340"/>
      <c r="P4777" s="340"/>
      <c r="U4777" s="340"/>
      <c r="V4777" s="340"/>
      <c r="Z4777" s="340"/>
      <c r="AE4777" s="340"/>
      <c r="AI4777" s="340"/>
      <c r="AN4777" s="340"/>
      <c r="AO4777" s="340"/>
      <c r="AS4777" s="340"/>
      <c r="AX4777" s="340"/>
      <c r="BB4777" s="340"/>
      <c r="BD4777" s="339"/>
    </row>
    <row r="4778" spans="7:56" s="338" customFormat="1">
      <c r="G4778" s="340"/>
      <c r="L4778" s="340"/>
      <c r="P4778" s="340"/>
      <c r="U4778" s="340"/>
      <c r="V4778" s="340"/>
      <c r="Z4778" s="340"/>
      <c r="AE4778" s="340"/>
      <c r="AI4778" s="340"/>
      <c r="AN4778" s="340"/>
      <c r="AO4778" s="340"/>
      <c r="AS4778" s="340"/>
      <c r="AX4778" s="340"/>
      <c r="BB4778" s="340"/>
      <c r="BD4778" s="339"/>
    </row>
    <row r="4779" spans="7:56" s="338" customFormat="1">
      <c r="G4779" s="340"/>
      <c r="L4779" s="340"/>
      <c r="P4779" s="340"/>
      <c r="U4779" s="340"/>
      <c r="V4779" s="340"/>
      <c r="Z4779" s="340"/>
      <c r="AE4779" s="340"/>
      <c r="AI4779" s="340"/>
      <c r="AN4779" s="340"/>
      <c r="AO4779" s="340"/>
      <c r="AS4779" s="340"/>
      <c r="AX4779" s="340"/>
      <c r="BB4779" s="340"/>
      <c r="BD4779" s="339"/>
    </row>
    <row r="4780" spans="7:56" s="338" customFormat="1">
      <c r="G4780" s="340"/>
      <c r="L4780" s="340"/>
      <c r="P4780" s="340"/>
      <c r="U4780" s="340"/>
      <c r="V4780" s="340"/>
      <c r="Z4780" s="340"/>
      <c r="AE4780" s="340"/>
      <c r="AI4780" s="340"/>
      <c r="AN4780" s="340"/>
      <c r="AO4780" s="340"/>
      <c r="AS4780" s="340"/>
      <c r="AX4780" s="340"/>
      <c r="BB4780" s="340"/>
      <c r="BD4780" s="339"/>
    </row>
    <row r="4781" spans="7:56" s="338" customFormat="1">
      <c r="G4781" s="340"/>
      <c r="L4781" s="340"/>
      <c r="P4781" s="340"/>
      <c r="U4781" s="340"/>
      <c r="V4781" s="340"/>
      <c r="Z4781" s="340"/>
      <c r="AE4781" s="340"/>
      <c r="AI4781" s="340"/>
      <c r="AN4781" s="340"/>
      <c r="AO4781" s="340"/>
      <c r="AS4781" s="340"/>
      <c r="AX4781" s="340"/>
      <c r="BB4781" s="340"/>
      <c r="BD4781" s="339"/>
    </row>
    <row r="4782" spans="7:56" s="338" customFormat="1">
      <c r="G4782" s="340"/>
      <c r="L4782" s="340"/>
      <c r="P4782" s="340"/>
      <c r="U4782" s="340"/>
      <c r="V4782" s="340"/>
      <c r="Z4782" s="340"/>
      <c r="AE4782" s="340"/>
      <c r="AI4782" s="340"/>
      <c r="AN4782" s="340"/>
      <c r="AO4782" s="340"/>
      <c r="AS4782" s="340"/>
      <c r="AX4782" s="340"/>
      <c r="BB4782" s="340"/>
      <c r="BD4782" s="339"/>
    </row>
    <row r="4783" spans="7:56" s="338" customFormat="1">
      <c r="G4783" s="340"/>
      <c r="L4783" s="340"/>
      <c r="P4783" s="340"/>
      <c r="U4783" s="340"/>
      <c r="V4783" s="340"/>
      <c r="Z4783" s="340"/>
      <c r="AE4783" s="340"/>
      <c r="AI4783" s="340"/>
      <c r="AN4783" s="340"/>
      <c r="AO4783" s="340"/>
      <c r="AS4783" s="340"/>
      <c r="AX4783" s="340"/>
      <c r="BB4783" s="340"/>
      <c r="BD4783" s="339"/>
    </row>
    <row r="4784" spans="7:56" s="338" customFormat="1">
      <c r="G4784" s="340"/>
      <c r="L4784" s="340"/>
      <c r="P4784" s="340"/>
      <c r="U4784" s="340"/>
      <c r="V4784" s="340"/>
      <c r="Z4784" s="340"/>
      <c r="AE4784" s="340"/>
      <c r="AI4784" s="340"/>
      <c r="AN4784" s="340"/>
      <c r="AO4784" s="340"/>
      <c r="AS4784" s="340"/>
      <c r="AX4784" s="340"/>
      <c r="BB4784" s="340"/>
      <c r="BD4784" s="339"/>
    </row>
    <row r="4785" spans="7:56" s="338" customFormat="1">
      <c r="G4785" s="340"/>
      <c r="L4785" s="340"/>
      <c r="P4785" s="340"/>
      <c r="U4785" s="340"/>
      <c r="V4785" s="340"/>
      <c r="Z4785" s="340"/>
      <c r="AE4785" s="340"/>
      <c r="AI4785" s="340"/>
      <c r="AN4785" s="340"/>
      <c r="AO4785" s="340"/>
      <c r="AS4785" s="340"/>
      <c r="AX4785" s="340"/>
      <c r="BB4785" s="340"/>
      <c r="BD4785" s="339"/>
    </row>
    <row r="4786" spans="7:56" s="338" customFormat="1">
      <c r="G4786" s="340"/>
      <c r="L4786" s="340"/>
      <c r="P4786" s="340"/>
      <c r="U4786" s="340"/>
      <c r="V4786" s="340"/>
      <c r="Z4786" s="340"/>
      <c r="AE4786" s="340"/>
      <c r="AI4786" s="340"/>
      <c r="AN4786" s="340"/>
      <c r="AO4786" s="340"/>
      <c r="AS4786" s="340"/>
      <c r="AX4786" s="340"/>
      <c r="BB4786" s="340"/>
      <c r="BD4786" s="339"/>
    </row>
    <row r="4787" spans="7:56" s="338" customFormat="1">
      <c r="G4787" s="340"/>
      <c r="L4787" s="340"/>
      <c r="P4787" s="340"/>
      <c r="U4787" s="340"/>
      <c r="V4787" s="340"/>
      <c r="Z4787" s="340"/>
      <c r="AE4787" s="340"/>
      <c r="AI4787" s="340"/>
      <c r="AN4787" s="340"/>
      <c r="AO4787" s="340"/>
      <c r="AS4787" s="340"/>
      <c r="AX4787" s="340"/>
      <c r="BB4787" s="340"/>
      <c r="BD4787" s="339"/>
    </row>
    <row r="4788" spans="7:56" s="338" customFormat="1">
      <c r="G4788" s="340"/>
      <c r="L4788" s="340"/>
      <c r="P4788" s="340"/>
      <c r="U4788" s="340"/>
      <c r="V4788" s="340"/>
      <c r="Z4788" s="340"/>
      <c r="AE4788" s="340"/>
      <c r="AI4788" s="340"/>
      <c r="AN4788" s="340"/>
      <c r="AO4788" s="340"/>
      <c r="AS4788" s="340"/>
      <c r="AX4788" s="340"/>
      <c r="BB4788" s="340"/>
      <c r="BD4788" s="339"/>
    </row>
    <row r="4789" spans="7:56" s="338" customFormat="1">
      <c r="G4789" s="340"/>
      <c r="L4789" s="340"/>
      <c r="P4789" s="340"/>
      <c r="U4789" s="340"/>
      <c r="V4789" s="340"/>
      <c r="Z4789" s="340"/>
      <c r="AE4789" s="340"/>
      <c r="AI4789" s="340"/>
      <c r="AN4789" s="340"/>
      <c r="AO4789" s="340"/>
      <c r="AS4789" s="340"/>
      <c r="AX4789" s="340"/>
      <c r="BB4789" s="340"/>
      <c r="BD4789" s="339"/>
    </row>
    <row r="4790" spans="7:56" s="338" customFormat="1">
      <c r="G4790" s="340"/>
      <c r="L4790" s="340"/>
      <c r="P4790" s="340"/>
      <c r="U4790" s="340"/>
      <c r="V4790" s="340"/>
      <c r="Z4790" s="340"/>
      <c r="AE4790" s="340"/>
      <c r="AI4790" s="340"/>
      <c r="AN4790" s="340"/>
      <c r="AO4790" s="340"/>
      <c r="AS4790" s="340"/>
      <c r="AX4790" s="340"/>
      <c r="BB4790" s="340"/>
      <c r="BD4790" s="339"/>
    </row>
    <row r="4791" spans="7:56" s="338" customFormat="1">
      <c r="G4791" s="340"/>
      <c r="L4791" s="340"/>
      <c r="P4791" s="340"/>
      <c r="U4791" s="340"/>
      <c r="V4791" s="340"/>
      <c r="Z4791" s="340"/>
      <c r="AE4791" s="340"/>
      <c r="AI4791" s="340"/>
      <c r="AN4791" s="340"/>
      <c r="AO4791" s="340"/>
      <c r="AS4791" s="340"/>
      <c r="AX4791" s="340"/>
      <c r="BB4791" s="340"/>
      <c r="BD4791" s="339"/>
    </row>
    <row r="4792" spans="7:56" s="338" customFormat="1">
      <c r="G4792" s="340"/>
      <c r="L4792" s="340"/>
      <c r="P4792" s="340"/>
      <c r="U4792" s="340"/>
      <c r="V4792" s="340"/>
      <c r="Z4792" s="340"/>
      <c r="AE4792" s="340"/>
      <c r="AI4792" s="340"/>
      <c r="AN4792" s="340"/>
      <c r="AO4792" s="340"/>
      <c r="AS4792" s="340"/>
      <c r="AX4792" s="340"/>
      <c r="BB4792" s="340"/>
      <c r="BD4792" s="339"/>
    </row>
    <row r="4793" spans="7:56" s="338" customFormat="1">
      <c r="G4793" s="340"/>
      <c r="L4793" s="340"/>
      <c r="P4793" s="340"/>
      <c r="U4793" s="340"/>
      <c r="V4793" s="340"/>
      <c r="Z4793" s="340"/>
      <c r="AE4793" s="340"/>
      <c r="AI4793" s="340"/>
      <c r="AN4793" s="340"/>
      <c r="AO4793" s="340"/>
      <c r="AS4793" s="340"/>
      <c r="AX4793" s="340"/>
      <c r="BB4793" s="340"/>
      <c r="BD4793" s="339"/>
    </row>
    <row r="4794" spans="7:56" s="338" customFormat="1">
      <c r="G4794" s="340"/>
      <c r="L4794" s="340"/>
      <c r="P4794" s="340"/>
      <c r="U4794" s="340"/>
      <c r="V4794" s="340"/>
      <c r="Z4794" s="340"/>
      <c r="AE4794" s="340"/>
      <c r="AI4794" s="340"/>
      <c r="AN4794" s="340"/>
      <c r="AO4794" s="340"/>
      <c r="AS4794" s="340"/>
      <c r="AX4794" s="340"/>
      <c r="BB4794" s="340"/>
      <c r="BD4794" s="339"/>
    </row>
    <row r="4795" spans="7:56" s="338" customFormat="1">
      <c r="G4795" s="340"/>
      <c r="L4795" s="340"/>
      <c r="P4795" s="340"/>
      <c r="U4795" s="340"/>
      <c r="V4795" s="340"/>
      <c r="Z4795" s="340"/>
      <c r="AE4795" s="340"/>
      <c r="AI4795" s="340"/>
      <c r="AN4795" s="340"/>
      <c r="AO4795" s="340"/>
      <c r="AS4795" s="340"/>
      <c r="AX4795" s="340"/>
      <c r="BB4795" s="340"/>
      <c r="BD4795" s="339"/>
    </row>
    <row r="4796" spans="7:56" s="338" customFormat="1">
      <c r="G4796" s="340"/>
      <c r="L4796" s="340"/>
      <c r="P4796" s="340"/>
      <c r="U4796" s="340"/>
      <c r="V4796" s="340"/>
      <c r="Z4796" s="340"/>
      <c r="AE4796" s="340"/>
      <c r="AI4796" s="340"/>
      <c r="AN4796" s="340"/>
      <c r="AO4796" s="340"/>
      <c r="AS4796" s="340"/>
      <c r="AX4796" s="340"/>
      <c r="BB4796" s="340"/>
      <c r="BD4796" s="339"/>
    </row>
    <row r="4797" spans="7:56" s="338" customFormat="1">
      <c r="G4797" s="340"/>
      <c r="L4797" s="340"/>
      <c r="P4797" s="340"/>
      <c r="U4797" s="340"/>
      <c r="V4797" s="340"/>
      <c r="Z4797" s="340"/>
      <c r="AE4797" s="340"/>
      <c r="AI4797" s="340"/>
      <c r="AN4797" s="340"/>
      <c r="AO4797" s="340"/>
      <c r="AS4797" s="340"/>
      <c r="AX4797" s="340"/>
      <c r="BB4797" s="340"/>
      <c r="BD4797" s="339"/>
    </row>
    <row r="4798" spans="7:56" s="338" customFormat="1">
      <c r="G4798" s="340"/>
      <c r="L4798" s="340"/>
      <c r="P4798" s="340"/>
      <c r="U4798" s="340"/>
      <c r="V4798" s="340"/>
      <c r="Z4798" s="340"/>
      <c r="AE4798" s="340"/>
      <c r="AI4798" s="340"/>
      <c r="AN4798" s="340"/>
      <c r="AO4798" s="340"/>
      <c r="AS4798" s="340"/>
      <c r="AX4798" s="340"/>
      <c r="BB4798" s="340"/>
      <c r="BD4798" s="339"/>
    </row>
    <row r="4799" spans="7:56" s="338" customFormat="1">
      <c r="G4799" s="340"/>
      <c r="L4799" s="340"/>
      <c r="P4799" s="340"/>
      <c r="U4799" s="340"/>
      <c r="V4799" s="340"/>
      <c r="Z4799" s="340"/>
      <c r="AE4799" s="340"/>
      <c r="AI4799" s="340"/>
      <c r="AN4799" s="340"/>
      <c r="AO4799" s="340"/>
      <c r="AS4799" s="340"/>
      <c r="AX4799" s="340"/>
      <c r="BB4799" s="340"/>
      <c r="BD4799" s="339"/>
    </row>
    <row r="4800" spans="7:56" s="338" customFormat="1">
      <c r="G4800" s="340"/>
      <c r="L4800" s="340"/>
      <c r="P4800" s="340"/>
      <c r="U4800" s="340"/>
      <c r="V4800" s="340"/>
      <c r="Z4800" s="340"/>
      <c r="AE4800" s="340"/>
      <c r="AI4800" s="340"/>
      <c r="AN4800" s="340"/>
      <c r="AO4800" s="340"/>
      <c r="AS4800" s="340"/>
      <c r="AX4800" s="340"/>
      <c r="BB4800" s="340"/>
      <c r="BD4800" s="339"/>
    </row>
    <row r="4801" spans="7:56" s="338" customFormat="1">
      <c r="G4801" s="340"/>
      <c r="L4801" s="340"/>
      <c r="P4801" s="340"/>
      <c r="U4801" s="340"/>
      <c r="V4801" s="340"/>
      <c r="Z4801" s="340"/>
      <c r="AE4801" s="340"/>
      <c r="AI4801" s="340"/>
      <c r="AN4801" s="340"/>
      <c r="AO4801" s="340"/>
      <c r="AS4801" s="340"/>
      <c r="AX4801" s="340"/>
      <c r="BB4801" s="340"/>
      <c r="BD4801" s="339"/>
    </row>
    <row r="4802" spans="7:56" s="338" customFormat="1">
      <c r="G4802" s="340"/>
      <c r="L4802" s="340"/>
      <c r="P4802" s="340"/>
      <c r="U4802" s="340"/>
      <c r="V4802" s="340"/>
      <c r="Z4802" s="340"/>
      <c r="AE4802" s="340"/>
      <c r="AI4802" s="340"/>
      <c r="AN4802" s="340"/>
      <c r="AO4802" s="340"/>
      <c r="AS4802" s="340"/>
      <c r="AX4802" s="340"/>
      <c r="BB4802" s="340"/>
      <c r="BD4802" s="339"/>
    </row>
    <row r="4803" spans="7:56" s="338" customFormat="1">
      <c r="G4803" s="340"/>
      <c r="L4803" s="340"/>
      <c r="P4803" s="340"/>
      <c r="U4803" s="340"/>
      <c r="V4803" s="340"/>
      <c r="Z4803" s="340"/>
      <c r="AE4803" s="340"/>
      <c r="AI4803" s="340"/>
      <c r="AN4803" s="340"/>
      <c r="AO4803" s="340"/>
      <c r="AS4803" s="340"/>
      <c r="AX4803" s="340"/>
      <c r="BB4803" s="340"/>
      <c r="BD4803" s="339"/>
    </row>
    <row r="4804" spans="7:56" s="338" customFormat="1">
      <c r="G4804" s="340"/>
      <c r="L4804" s="340"/>
      <c r="P4804" s="340"/>
      <c r="U4804" s="340"/>
      <c r="V4804" s="340"/>
      <c r="Z4804" s="340"/>
      <c r="AE4804" s="340"/>
      <c r="AI4804" s="340"/>
      <c r="AN4804" s="340"/>
      <c r="AO4804" s="340"/>
      <c r="AS4804" s="340"/>
      <c r="AX4804" s="340"/>
      <c r="BB4804" s="340"/>
      <c r="BD4804" s="339"/>
    </row>
    <row r="4805" spans="7:56" s="338" customFormat="1">
      <c r="G4805" s="340"/>
      <c r="L4805" s="340"/>
      <c r="P4805" s="340"/>
      <c r="U4805" s="340"/>
      <c r="V4805" s="340"/>
      <c r="Z4805" s="340"/>
      <c r="AE4805" s="340"/>
      <c r="AI4805" s="340"/>
      <c r="AN4805" s="340"/>
      <c r="AO4805" s="340"/>
      <c r="AS4805" s="340"/>
      <c r="AX4805" s="340"/>
      <c r="BB4805" s="340"/>
      <c r="BD4805" s="339"/>
    </row>
    <row r="4806" spans="7:56" s="338" customFormat="1">
      <c r="G4806" s="340"/>
      <c r="L4806" s="340"/>
      <c r="P4806" s="340"/>
      <c r="U4806" s="340"/>
      <c r="V4806" s="340"/>
      <c r="Z4806" s="340"/>
      <c r="AE4806" s="340"/>
      <c r="AI4806" s="340"/>
      <c r="AN4806" s="340"/>
      <c r="AO4806" s="340"/>
      <c r="AS4806" s="340"/>
      <c r="AX4806" s="340"/>
      <c r="BB4806" s="340"/>
      <c r="BD4806" s="339"/>
    </row>
    <row r="4807" spans="7:56" s="338" customFormat="1">
      <c r="G4807" s="340"/>
      <c r="L4807" s="340"/>
      <c r="P4807" s="340"/>
      <c r="U4807" s="340"/>
      <c r="V4807" s="340"/>
      <c r="Z4807" s="340"/>
      <c r="AE4807" s="340"/>
      <c r="AI4807" s="340"/>
      <c r="AN4807" s="340"/>
      <c r="AO4807" s="340"/>
      <c r="AS4807" s="340"/>
      <c r="AX4807" s="340"/>
      <c r="BB4807" s="340"/>
      <c r="BD4807" s="339"/>
    </row>
    <row r="4808" spans="7:56" s="338" customFormat="1">
      <c r="G4808" s="340"/>
      <c r="L4808" s="340"/>
      <c r="P4808" s="340"/>
      <c r="U4808" s="340"/>
      <c r="V4808" s="340"/>
      <c r="Z4808" s="340"/>
      <c r="AE4808" s="340"/>
      <c r="AI4808" s="340"/>
      <c r="AN4808" s="340"/>
      <c r="AO4808" s="340"/>
      <c r="AS4808" s="340"/>
      <c r="AX4808" s="340"/>
      <c r="BB4808" s="340"/>
      <c r="BD4808" s="339"/>
    </row>
    <row r="4809" spans="7:56" s="338" customFormat="1">
      <c r="G4809" s="340"/>
      <c r="L4809" s="340"/>
      <c r="P4809" s="340"/>
      <c r="U4809" s="340"/>
      <c r="V4809" s="340"/>
      <c r="Z4809" s="340"/>
      <c r="AE4809" s="340"/>
      <c r="AI4809" s="340"/>
      <c r="AN4809" s="340"/>
      <c r="AO4809" s="340"/>
      <c r="AS4809" s="340"/>
      <c r="AX4809" s="340"/>
      <c r="BB4809" s="340"/>
      <c r="BD4809" s="339"/>
    </row>
    <row r="4810" spans="7:56" s="338" customFormat="1">
      <c r="G4810" s="340"/>
      <c r="L4810" s="340"/>
      <c r="P4810" s="340"/>
      <c r="U4810" s="340"/>
      <c r="V4810" s="340"/>
      <c r="Z4810" s="340"/>
      <c r="AE4810" s="340"/>
      <c r="AI4810" s="340"/>
      <c r="AN4810" s="340"/>
      <c r="AO4810" s="340"/>
      <c r="AS4810" s="340"/>
      <c r="AX4810" s="340"/>
      <c r="BB4810" s="340"/>
      <c r="BD4810" s="339"/>
    </row>
    <row r="4811" spans="7:56" s="338" customFormat="1">
      <c r="G4811" s="340"/>
      <c r="L4811" s="340"/>
      <c r="P4811" s="340"/>
      <c r="U4811" s="340"/>
      <c r="V4811" s="340"/>
      <c r="Z4811" s="340"/>
      <c r="AE4811" s="340"/>
      <c r="AI4811" s="340"/>
      <c r="AN4811" s="340"/>
      <c r="AO4811" s="340"/>
      <c r="AS4811" s="340"/>
      <c r="AX4811" s="340"/>
      <c r="BB4811" s="340"/>
      <c r="BD4811" s="339"/>
    </row>
    <row r="4812" spans="7:56" s="338" customFormat="1">
      <c r="G4812" s="340"/>
      <c r="L4812" s="340"/>
      <c r="P4812" s="340"/>
      <c r="U4812" s="340"/>
      <c r="V4812" s="340"/>
      <c r="Z4812" s="340"/>
      <c r="AE4812" s="340"/>
      <c r="AI4812" s="340"/>
      <c r="AN4812" s="340"/>
      <c r="AO4812" s="340"/>
      <c r="AS4812" s="340"/>
      <c r="AX4812" s="340"/>
      <c r="BB4812" s="340"/>
      <c r="BD4812" s="339"/>
    </row>
    <row r="4813" spans="7:56" s="338" customFormat="1">
      <c r="G4813" s="340"/>
      <c r="L4813" s="340"/>
      <c r="P4813" s="340"/>
      <c r="U4813" s="340"/>
      <c r="V4813" s="340"/>
      <c r="Z4813" s="340"/>
      <c r="AE4813" s="340"/>
      <c r="AI4813" s="340"/>
      <c r="AN4813" s="340"/>
      <c r="AO4813" s="340"/>
      <c r="AS4813" s="340"/>
      <c r="AX4813" s="340"/>
      <c r="BB4813" s="340"/>
      <c r="BD4813" s="339"/>
    </row>
    <row r="4814" spans="7:56" s="338" customFormat="1">
      <c r="G4814" s="340"/>
      <c r="L4814" s="340"/>
      <c r="P4814" s="340"/>
      <c r="U4814" s="340"/>
      <c r="V4814" s="340"/>
      <c r="Z4814" s="340"/>
      <c r="AE4814" s="340"/>
      <c r="AI4814" s="340"/>
      <c r="AN4814" s="340"/>
      <c r="AO4814" s="340"/>
      <c r="AS4814" s="340"/>
      <c r="AX4814" s="340"/>
      <c r="BB4814" s="340"/>
      <c r="BD4814" s="339"/>
    </row>
    <row r="4815" spans="7:56" s="338" customFormat="1">
      <c r="G4815" s="340"/>
      <c r="L4815" s="340"/>
      <c r="P4815" s="340"/>
      <c r="U4815" s="340"/>
      <c r="V4815" s="340"/>
      <c r="Z4815" s="340"/>
      <c r="AE4815" s="340"/>
      <c r="AI4815" s="340"/>
      <c r="AN4815" s="340"/>
      <c r="AO4815" s="340"/>
      <c r="AS4815" s="340"/>
      <c r="AX4815" s="340"/>
      <c r="BB4815" s="340"/>
      <c r="BD4815" s="339"/>
    </row>
    <row r="4816" spans="7:56" s="338" customFormat="1">
      <c r="G4816" s="340"/>
      <c r="L4816" s="340"/>
      <c r="P4816" s="340"/>
      <c r="U4816" s="340"/>
      <c r="V4816" s="340"/>
      <c r="Z4816" s="340"/>
      <c r="AE4816" s="340"/>
      <c r="AI4816" s="340"/>
      <c r="AN4816" s="340"/>
      <c r="AO4816" s="340"/>
      <c r="AS4816" s="340"/>
      <c r="AX4816" s="340"/>
      <c r="BB4816" s="340"/>
      <c r="BD4816" s="339"/>
    </row>
    <row r="4817" spans="7:56" s="338" customFormat="1">
      <c r="G4817" s="340"/>
      <c r="L4817" s="340"/>
      <c r="P4817" s="340"/>
      <c r="U4817" s="340"/>
      <c r="V4817" s="340"/>
      <c r="Z4817" s="340"/>
      <c r="AE4817" s="340"/>
      <c r="AI4817" s="340"/>
      <c r="AN4817" s="340"/>
      <c r="AO4817" s="340"/>
      <c r="AS4817" s="340"/>
      <c r="AX4817" s="340"/>
      <c r="BB4817" s="340"/>
      <c r="BD4817" s="339"/>
    </row>
    <row r="4818" spans="7:56" s="338" customFormat="1">
      <c r="G4818" s="340"/>
      <c r="L4818" s="340"/>
      <c r="P4818" s="340"/>
      <c r="U4818" s="340"/>
      <c r="V4818" s="340"/>
      <c r="Z4818" s="340"/>
      <c r="AE4818" s="340"/>
      <c r="AI4818" s="340"/>
      <c r="AN4818" s="340"/>
      <c r="AO4818" s="340"/>
      <c r="AS4818" s="340"/>
      <c r="AX4818" s="340"/>
      <c r="BB4818" s="340"/>
      <c r="BD4818" s="339"/>
    </row>
    <row r="4819" spans="7:56" s="338" customFormat="1">
      <c r="G4819" s="340"/>
      <c r="L4819" s="340"/>
      <c r="P4819" s="340"/>
      <c r="U4819" s="340"/>
      <c r="V4819" s="340"/>
      <c r="Z4819" s="340"/>
      <c r="AE4819" s="340"/>
      <c r="AI4819" s="340"/>
      <c r="AN4819" s="340"/>
      <c r="AO4819" s="340"/>
      <c r="AS4819" s="340"/>
      <c r="AX4819" s="340"/>
      <c r="BB4819" s="340"/>
      <c r="BD4819" s="339"/>
    </row>
    <row r="4820" spans="7:56" s="338" customFormat="1">
      <c r="G4820" s="340"/>
      <c r="L4820" s="340"/>
      <c r="P4820" s="340"/>
      <c r="U4820" s="340"/>
      <c r="V4820" s="340"/>
      <c r="Z4820" s="340"/>
      <c r="AE4820" s="340"/>
      <c r="AI4820" s="340"/>
      <c r="AN4820" s="340"/>
      <c r="AO4820" s="340"/>
      <c r="AS4820" s="340"/>
      <c r="AX4820" s="340"/>
      <c r="BB4820" s="340"/>
      <c r="BD4820" s="339"/>
    </row>
    <row r="4821" spans="7:56" s="338" customFormat="1">
      <c r="G4821" s="340"/>
      <c r="L4821" s="340"/>
      <c r="P4821" s="340"/>
      <c r="U4821" s="340"/>
      <c r="V4821" s="340"/>
      <c r="Z4821" s="340"/>
      <c r="AE4821" s="340"/>
      <c r="AI4821" s="340"/>
      <c r="AN4821" s="340"/>
      <c r="AO4821" s="340"/>
      <c r="AS4821" s="340"/>
      <c r="AX4821" s="340"/>
      <c r="BB4821" s="340"/>
      <c r="BD4821" s="339"/>
    </row>
    <row r="4822" spans="7:56" s="338" customFormat="1">
      <c r="G4822" s="340"/>
      <c r="L4822" s="340"/>
      <c r="P4822" s="340"/>
      <c r="U4822" s="340"/>
      <c r="V4822" s="340"/>
      <c r="Z4822" s="340"/>
      <c r="AE4822" s="340"/>
      <c r="AI4822" s="340"/>
      <c r="AN4822" s="340"/>
      <c r="AO4822" s="340"/>
      <c r="AS4822" s="340"/>
      <c r="AX4822" s="340"/>
      <c r="BB4822" s="340"/>
      <c r="BD4822" s="339"/>
    </row>
    <row r="4823" spans="7:56" s="338" customFormat="1">
      <c r="G4823" s="340"/>
      <c r="L4823" s="340"/>
      <c r="P4823" s="340"/>
      <c r="U4823" s="340"/>
      <c r="V4823" s="340"/>
      <c r="Z4823" s="340"/>
      <c r="AE4823" s="340"/>
      <c r="AI4823" s="340"/>
      <c r="AN4823" s="340"/>
      <c r="AO4823" s="340"/>
      <c r="AS4823" s="340"/>
      <c r="AX4823" s="340"/>
      <c r="BB4823" s="340"/>
      <c r="BD4823" s="339"/>
    </row>
    <row r="4824" spans="7:56" s="338" customFormat="1">
      <c r="G4824" s="340"/>
      <c r="L4824" s="340"/>
      <c r="P4824" s="340"/>
      <c r="U4824" s="340"/>
      <c r="V4824" s="340"/>
      <c r="Z4824" s="340"/>
      <c r="AE4824" s="340"/>
      <c r="AI4824" s="340"/>
      <c r="AN4824" s="340"/>
      <c r="AO4824" s="340"/>
      <c r="AS4824" s="340"/>
      <c r="AX4824" s="340"/>
      <c r="BB4824" s="340"/>
      <c r="BD4824" s="339"/>
    </row>
    <row r="4825" spans="7:56" s="338" customFormat="1">
      <c r="G4825" s="340"/>
      <c r="L4825" s="340"/>
      <c r="P4825" s="340"/>
      <c r="U4825" s="340"/>
      <c r="V4825" s="340"/>
      <c r="Z4825" s="340"/>
      <c r="AE4825" s="340"/>
      <c r="AI4825" s="340"/>
      <c r="AN4825" s="340"/>
      <c r="AO4825" s="340"/>
      <c r="AS4825" s="340"/>
      <c r="AX4825" s="340"/>
      <c r="BB4825" s="340"/>
      <c r="BD4825" s="339"/>
    </row>
    <row r="4826" spans="7:56" s="338" customFormat="1">
      <c r="G4826" s="340"/>
      <c r="L4826" s="340"/>
      <c r="P4826" s="340"/>
      <c r="U4826" s="340"/>
      <c r="V4826" s="340"/>
      <c r="Z4826" s="340"/>
      <c r="AE4826" s="340"/>
      <c r="AI4826" s="340"/>
      <c r="AN4826" s="340"/>
      <c r="AO4826" s="340"/>
      <c r="AS4826" s="340"/>
      <c r="AX4826" s="340"/>
      <c r="BB4826" s="340"/>
      <c r="BD4826" s="339"/>
    </row>
    <row r="4827" spans="7:56" s="338" customFormat="1">
      <c r="G4827" s="340"/>
      <c r="L4827" s="340"/>
      <c r="P4827" s="340"/>
      <c r="U4827" s="340"/>
      <c r="V4827" s="340"/>
      <c r="Z4827" s="340"/>
      <c r="AE4827" s="340"/>
      <c r="AI4827" s="340"/>
      <c r="AN4827" s="340"/>
      <c r="AO4827" s="340"/>
      <c r="AS4827" s="340"/>
      <c r="AX4827" s="340"/>
      <c r="BB4827" s="340"/>
      <c r="BD4827" s="339"/>
    </row>
    <row r="4828" spans="7:56" s="338" customFormat="1">
      <c r="G4828" s="340"/>
      <c r="L4828" s="340"/>
      <c r="P4828" s="340"/>
      <c r="U4828" s="340"/>
      <c r="V4828" s="340"/>
      <c r="Z4828" s="340"/>
      <c r="AE4828" s="340"/>
      <c r="AI4828" s="340"/>
      <c r="AN4828" s="340"/>
      <c r="AO4828" s="340"/>
      <c r="AS4828" s="340"/>
      <c r="AX4828" s="340"/>
      <c r="BB4828" s="340"/>
      <c r="BD4828" s="339"/>
    </row>
    <row r="4829" spans="7:56" s="338" customFormat="1">
      <c r="G4829" s="340"/>
      <c r="L4829" s="340"/>
      <c r="P4829" s="340"/>
      <c r="U4829" s="340"/>
      <c r="V4829" s="340"/>
      <c r="Z4829" s="340"/>
      <c r="AE4829" s="340"/>
      <c r="AI4829" s="340"/>
      <c r="AN4829" s="340"/>
      <c r="AO4829" s="340"/>
      <c r="AS4829" s="340"/>
      <c r="AX4829" s="340"/>
      <c r="BB4829" s="340"/>
      <c r="BD4829" s="339"/>
    </row>
    <row r="4830" spans="7:56" s="338" customFormat="1">
      <c r="G4830" s="340"/>
      <c r="L4830" s="340"/>
      <c r="P4830" s="340"/>
      <c r="U4830" s="340"/>
      <c r="V4830" s="340"/>
      <c r="Z4830" s="340"/>
      <c r="AE4830" s="340"/>
      <c r="AI4830" s="340"/>
      <c r="AN4830" s="340"/>
      <c r="AO4830" s="340"/>
      <c r="AS4830" s="340"/>
      <c r="AX4830" s="340"/>
      <c r="BB4830" s="340"/>
      <c r="BD4830" s="339"/>
    </row>
    <row r="4831" spans="7:56" s="338" customFormat="1">
      <c r="G4831" s="340"/>
      <c r="L4831" s="340"/>
      <c r="P4831" s="340"/>
      <c r="U4831" s="340"/>
      <c r="V4831" s="340"/>
      <c r="Z4831" s="340"/>
      <c r="AE4831" s="340"/>
      <c r="AI4831" s="340"/>
      <c r="AN4831" s="340"/>
      <c r="AO4831" s="340"/>
      <c r="AS4831" s="340"/>
      <c r="AX4831" s="340"/>
      <c r="BB4831" s="340"/>
      <c r="BD4831" s="339"/>
    </row>
    <row r="4832" spans="7:56" s="338" customFormat="1">
      <c r="G4832" s="340"/>
      <c r="L4832" s="340"/>
      <c r="P4832" s="340"/>
      <c r="U4832" s="340"/>
      <c r="V4832" s="340"/>
      <c r="Z4832" s="340"/>
      <c r="AE4832" s="340"/>
      <c r="AI4832" s="340"/>
      <c r="AN4832" s="340"/>
      <c r="AO4832" s="340"/>
      <c r="AS4832" s="340"/>
      <c r="AX4832" s="340"/>
      <c r="BB4832" s="340"/>
      <c r="BD4832" s="339"/>
    </row>
    <row r="4833" spans="7:56" s="338" customFormat="1">
      <c r="G4833" s="340"/>
      <c r="L4833" s="340"/>
      <c r="P4833" s="340"/>
      <c r="U4833" s="340"/>
      <c r="V4833" s="340"/>
      <c r="Z4833" s="340"/>
      <c r="AE4833" s="340"/>
      <c r="AI4833" s="340"/>
      <c r="AN4833" s="340"/>
      <c r="AO4833" s="340"/>
      <c r="AS4833" s="340"/>
      <c r="AX4833" s="340"/>
      <c r="BB4833" s="340"/>
      <c r="BD4833" s="339"/>
    </row>
    <row r="4834" spans="7:56" s="338" customFormat="1">
      <c r="G4834" s="340"/>
      <c r="L4834" s="340"/>
      <c r="P4834" s="340"/>
      <c r="U4834" s="340"/>
      <c r="V4834" s="340"/>
      <c r="Z4834" s="340"/>
      <c r="AE4834" s="340"/>
      <c r="AI4834" s="340"/>
      <c r="AN4834" s="340"/>
      <c r="AO4834" s="340"/>
      <c r="AS4834" s="340"/>
      <c r="AX4834" s="340"/>
      <c r="BB4834" s="340"/>
      <c r="BD4834" s="339"/>
    </row>
    <row r="4835" spans="7:56" s="338" customFormat="1">
      <c r="G4835" s="340"/>
      <c r="L4835" s="340"/>
      <c r="P4835" s="340"/>
      <c r="U4835" s="340"/>
      <c r="V4835" s="340"/>
      <c r="Z4835" s="340"/>
      <c r="AE4835" s="340"/>
      <c r="AI4835" s="340"/>
      <c r="AN4835" s="340"/>
      <c r="AO4835" s="340"/>
      <c r="AS4835" s="340"/>
      <c r="AX4835" s="340"/>
      <c r="BB4835" s="340"/>
      <c r="BD4835" s="339"/>
    </row>
    <row r="4836" spans="7:56" s="338" customFormat="1">
      <c r="G4836" s="340"/>
      <c r="L4836" s="340"/>
      <c r="P4836" s="340"/>
      <c r="U4836" s="340"/>
      <c r="V4836" s="340"/>
      <c r="Z4836" s="340"/>
      <c r="AE4836" s="340"/>
      <c r="AI4836" s="340"/>
      <c r="AN4836" s="340"/>
      <c r="AO4836" s="340"/>
      <c r="AS4836" s="340"/>
      <c r="AX4836" s="340"/>
      <c r="BB4836" s="340"/>
      <c r="BD4836" s="339"/>
    </row>
    <row r="4837" spans="7:56" s="338" customFormat="1">
      <c r="G4837" s="340"/>
      <c r="L4837" s="340"/>
      <c r="P4837" s="340"/>
      <c r="U4837" s="340"/>
      <c r="V4837" s="340"/>
      <c r="Z4837" s="340"/>
      <c r="AE4837" s="340"/>
      <c r="AI4837" s="340"/>
      <c r="AN4837" s="340"/>
      <c r="AO4837" s="340"/>
      <c r="AS4837" s="340"/>
      <c r="AX4837" s="340"/>
      <c r="BB4837" s="340"/>
      <c r="BD4837" s="339"/>
    </row>
    <row r="4838" spans="7:56" s="338" customFormat="1">
      <c r="G4838" s="340"/>
      <c r="L4838" s="340"/>
      <c r="P4838" s="340"/>
      <c r="U4838" s="340"/>
      <c r="V4838" s="340"/>
      <c r="Z4838" s="340"/>
      <c r="AE4838" s="340"/>
      <c r="AI4838" s="340"/>
      <c r="AN4838" s="340"/>
      <c r="AO4838" s="340"/>
      <c r="AS4838" s="340"/>
      <c r="AX4838" s="340"/>
      <c r="BB4838" s="340"/>
      <c r="BD4838" s="339"/>
    </row>
    <row r="4839" spans="7:56" s="338" customFormat="1">
      <c r="G4839" s="340"/>
      <c r="L4839" s="340"/>
      <c r="P4839" s="340"/>
      <c r="U4839" s="340"/>
      <c r="V4839" s="340"/>
      <c r="Z4839" s="340"/>
      <c r="AE4839" s="340"/>
      <c r="AI4839" s="340"/>
      <c r="AN4839" s="340"/>
      <c r="AO4839" s="340"/>
      <c r="AS4839" s="340"/>
      <c r="AX4839" s="340"/>
      <c r="BB4839" s="340"/>
      <c r="BD4839" s="339"/>
    </row>
    <row r="4840" spans="7:56" s="338" customFormat="1">
      <c r="G4840" s="340"/>
      <c r="L4840" s="340"/>
      <c r="P4840" s="340"/>
      <c r="U4840" s="340"/>
      <c r="V4840" s="340"/>
      <c r="Z4840" s="340"/>
      <c r="AE4840" s="340"/>
      <c r="AI4840" s="340"/>
      <c r="AN4840" s="340"/>
      <c r="AO4840" s="340"/>
      <c r="AS4840" s="340"/>
      <c r="AX4840" s="340"/>
      <c r="BB4840" s="340"/>
      <c r="BD4840" s="339"/>
    </row>
    <row r="4841" spans="7:56" s="338" customFormat="1">
      <c r="G4841" s="340"/>
      <c r="L4841" s="340"/>
      <c r="P4841" s="340"/>
      <c r="U4841" s="340"/>
      <c r="V4841" s="340"/>
      <c r="Z4841" s="340"/>
      <c r="AE4841" s="340"/>
      <c r="AI4841" s="340"/>
      <c r="AN4841" s="340"/>
      <c r="AO4841" s="340"/>
      <c r="AS4841" s="340"/>
      <c r="AX4841" s="340"/>
      <c r="BB4841" s="340"/>
      <c r="BD4841" s="339"/>
    </row>
    <row r="4842" spans="7:56" s="338" customFormat="1">
      <c r="G4842" s="340"/>
      <c r="L4842" s="340"/>
      <c r="P4842" s="340"/>
      <c r="U4842" s="340"/>
      <c r="V4842" s="340"/>
      <c r="Z4842" s="340"/>
      <c r="AE4842" s="340"/>
      <c r="AI4842" s="340"/>
      <c r="AN4842" s="340"/>
      <c r="AO4842" s="340"/>
      <c r="AS4842" s="340"/>
      <c r="AX4842" s="340"/>
      <c r="BB4842" s="340"/>
      <c r="BD4842" s="339"/>
    </row>
    <row r="4843" spans="7:56" s="338" customFormat="1">
      <c r="G4843" s="340"/>
      <c r="L4843" s="340"/>
      <c r="P4843" s="340"/>
      <c r="U4843" s="340"/>
      <c r="V4843" s="340"/>
      <c r="Z4843" s="340"/>
      <c r="AE4843" s="340"/>
      <c r="AI4843" s="340"/>
      <c r="AN4843" s="340"/>
      <c r="AO4843" s="340"/>
      <c r="AS4843" s="340"/>
      <c r="AX4843" s="340"/>
      <c r="BB4843" s="340"/>
      <c r="BD4843" s="339"/>
    </row>
    <row r="4844" spans="7:56" s="338" customFormat="1">
      <c r="G4844" s="340"/>
      <c r="L4844" s="340"/>
      <c r="P4844" s="340"/>
      <c r="U4844" s="340"/>
      <c r="V4844" s="340"/>
      <c r="Z4844" s="340"/>
      <c r="AE4844" s="340"/>
      <c r="AI4844" s="340"/>
      <c r="AN4844" s="340"/>
      <c r="AO4844" s="340"/>
      <c r="AS4844" s="340"/>
      <c r="AX4844" s="340"/>
      <c r="BB4844" s="340"/>
      <c r="BD4844" s="339"/>
    </row>
    <row r="4845" spans="7:56" s="338" customFormat="1">
      <c r="G4845" s="340"/>
      <c r="L4845" s="340"/>
      <c r="P4845" s="340"/>
      <c r="U4845" s="340"/>
      <c r="V4845" s="340"/>
      <c r="Z4845" s="340"/>
      <c r="AE4845" s="340"/>
      <c r="AI4845" s="340"/>
      <c r="AN4845" s="340"/>
      <c r="AO4845" s="340"/>
      <c r="AS4845" s="340"/>
      <c r="AX4845" s="340"/>
      <c r="BB4845" s="340"/>
      <c r="BD4845" s="339"/>
    </row>
    <row r="4846" spans="7:56" s="338" customFormat="1">
      <c r="G4846" s="340"/>
      <c r="L4846" s="340"/>
      <c r="P4846" s="340"/>
      <c r="U4846" s="340"/>
      <c r="V4846" s="340"/>
      <c r="Z4846" s="340"/>
      <c r="AE4846" s="340"/>
      <c r="AI4846" s="340"/>
      <c r="AN4846" s="340"/>
      <c r="AO4846" s="340"/>
      <c r="AS4846" s="340"/>
      <c r="AX4846" s="340"/>
      <c r="BB4846" s="340"/>
      <c r="BD4846" s="339"/>
    </row>
    <row r="4847" spans="7:56" s="338" customFormat="1">
      <c r="G4847" s="340"/>
      <c r="L4847" s="340"/>
      <c r="P4847" s="340"/>
      <c r="U4847" s="340"/>
      <c r="V4847" s="340"/>
      <c r="Z4847" s="340"/>
      <c r="AE4847" s="340"/>
      <c r="AI4847" s="340"/>
      <c r="AN4847" s="340"/>
      <c r="AO4847" s="340"/>
      <c r="AS4847" s="340"/>
      <c r="AX4847" s="340"/>
      <c r="BB4847" s="340"/>
      <c r="BD4847" s="339"/>
    </row>
    <row r="4848" spans="7:56" s="338" customFormat="1">
      <c r="G4848" s="340"/>
      <c r="L4848" s="340"/>
      <c r="P4848" s="340"/>
      <c r="U4848" s="340"/>
      <c r="V4848" s="340"/>
      <c r="Z4848" s="340"/>
      <c r="AE4848" s="340"/>
      <c r="AI4848" s="340"/>
      <c r="AN4848" s="340"/>
      <c r="AO4848" s="340"/>
      <c r="AS4848" s="340"/>
      <c r="AX4848" s="340"/>
      <c r="BB4848" s="340"/>
      <c r="BD4848" s="339"/>
    </row>
    <row r="4849" spans="7:56" s="338" customFormat="1">
      <c r="G4849" s="340"/>
      <c r="L4849" s="340"/>
      <c r="P4849" s="340"/>
      <c r="U4849" s="340"/>
      <c r="V4849" s="340"/>
      <c r="Z4849" s="340"/>
      <c r="AE4849" s="340"/>
      <c r="AI4849" s="340"/>
      <c r="AN4849" s="340"/>
      <c r="AO4849" s="340"/>
      <c r="AS4849" s="340"/>
      <c r="AX4849" s="340"/>
      <c r="BB4849" s="340"/>
      <c r="BD4849" s="339"/>
    </row>
    <row r="4850" spans="7:56" s="338" customFormat="1">
      <c r="G4850" s="340"/>
      <c r="L4850" s="340"/>
      <c r="P4850" s="340"/>
      <c r="U4850" s="340"/>
      <c r="V4850" s="340"/>
      <c r="Z4850" s="340"/>
      <c r="AE4850" s="340"/>
      <c r="AI4850" s="340"/>
      <c r="AN4850" s="340"/>
      <c r="AO4850" s="340"/>
      <c r="AS4850" s="340"/>
      <c r="AX4850" s="340"/>
      <c r="BB4850" s="340"/>
      <c r="BD4850" s="339"/>
    </row>
    <row r="4851" spans="7:56" s="338" customFormat="1">
      <c r="G4851" s="340"/>
      <c r="L4851" s="340"/>
      <c r="P4851" s="340"/>
      <c r="U4851" s="340"/>
      <c r="V4851" s="340"/>
      <c r="Z4851" s="340"/>
      <c r="AE4851" s="340"/>
      <c r="AI4851" s="340"/>
      <c r="AN4851" s="340"/>
      <c r="AO4851" s="340"/>
      <c r="AS4851" s="340"/>
      <c r="AX4851" s="340"/>
      <c r="BB4851" s="340"/>
      <c r="BD4851" s="339"/>
    </row>
    <row r="4852" spans="7:56" s="338" customFormat="1">
      <c r="G4852" s="340"/>
      <c r="L4852" s="340"/>
      <c r="P4852" s="340"/>
      <c r="U4852" s="340"/>
      <c r="V4852" s="340"/>
      <c r="Z4852" s="340"/>
      <c r="AE4852" s="340"/>
      <c r="AI4852" s="340"/>
      <c r="AN4852" s="340"/>
      <c r="AO4852" s="340"/>
      <c r="AS4852" s="340"/>
      <c r="AX4852" s="340"/>
      <c r="BB4852" s="340"/>
      <c r="BD4852" s="339"/>
    </row>
    <row r="4853" spans="7:56" s="338" customFormat="1">
      <c r="G4853" s="340"/>
      <c r="L4853" s="340"/>
      <c r="P4853" s="340"/>
      <c r="U4853" s="340"/>
      <c r="V4853" s="340"/>
      <c r="Z4853" s="340"/>
      <c r="AE4853" s="340"/>
      <c r="AI4853" s="340"/>
      <c r="AN4853" s="340"/>
      <c r="AO4853" s="340"/>
      <c r="AS4853" s="340"/>
      <c r="AX4853" s="340"/>
      <c r="BB4853" s="340"/>
      <c r="BD4853" s="339"/>
    </row>
    <row r="4854" spans="7:56" s="338" customFormat="1">
      <c r="G4854" s="340"/>
      <c r="L4854" s="340"/>
      <c r="P4854" s="340"/>
      <c r="U4854" s="340"/>
      <c r="V4854" s="340"/>
      <c r="Z4854" s="340"/>
      <c r="AE4854" s="340"/>
      <c r="AI4854" s="340"/>
      <c r="AN4854" s="340"/>
      <c r="AO4854" s="340"/>
      <c r="AS4854" s="340"/>
      <c r="AX4854" s="340"/>
      <c r="BB4854" s="340"/>
      <c r="BD4854" s="339"/>
    </row>
    <row r="4855" spans="7:56" s="338" customFormat="1">
      <c r="G4855" s="340"/>
      <c r="L4855" s="340"/>
      <c r="P4855" s="340"/>
      <c r="U4855" s="340"/>
      <c r="V4855" s="340"/>
      <c r="Z4855" s="340"/>
      <c r="AE4855" s="340"/>
      <c r="AI4855" s="340"/>
      <c r="AN4855" s="340"/>
      <c r="AO4855" s="340"/>
      <c r="AS4855" s="340"/>
      <c r="AX4855" s="340"/>
      <c r="BB4855" s="340"/>
      <c r="BD4855" s="339"/>
    </row>
    <row r="4856" spans="7:56" s="338" customFormat="1">
      <c r="G4856" s="340"/>
      <c r="L4856" s="340"/>
      <c r="P4856" s="340"/>
      <c r="U4856" s="340"/>
      <c r="V4856" s="340"/>
      <c r="Z4856" s="340"/>
      <c r="AE4856" s="340"/>
      <c r="AI4856" s="340"/>
      <c r="AN4856" s="340"/>
      <c r="AO4856" s="340"/>
      <c r="AS4856" s="340"/>
      <c r="AX4856" s="340"/>
      <c r="BB4856" s="340"/>
      <c r="BD4856" s="339"/>
    </row>
    <row r="4857" spans="7:56" s="338" customFormat="1">
      <c r="G4857" s="340"/>
      <c r="L4857" s="340"/>
      <c r="P4857" s="340"/>
      <c r="U4857" s="340"/>
      <c r="V4857" s="340"/>
      <c r="Z4857" s="340"/>
      <c r="AE4857" s="340"/>
      <c r="AI4857" s="340"/>
      <c r="AN4857" s="340"/>
      <c r="AO4857" s="340"/>
      <c r="AS4857" s="340"/>
      <c r="AX4857" s="340"/>
      <c r="BB4857" s="340"/>
      <c r="BD4857" s="339"/>
    </row>
    <row r="4858" spans="7:56" s="338" customFormat="1">
      <c r="G4858" s="340"/>
      <c r="L4858" s="340"/>
      <c r="P4858" s="340"/>
      <c r="U4858" s="340"/>
      <c r="V4858" s="340"/>
      <c r="Z4858" s="340"/>
      <c r="AE4858" s="340"/>
      <c r="AI4858" s="340"/>
      <c r="AN4858" s="340"/>
      <c r="AO4858" s="340"/>
      <c r="AS4858" s="340"/>
      <c r="AX4858" s="340"/>
      <c r="BB4858" s="340"/>
      <c r="BD4858" s="339"/>
    </row>
    <row r="4859" spans="7:56" s="338" customFormat="1">
      <c r="G4859" s="340"/>
      <c r="L4859" s="340"/>
      <c r="P4859" s="340"/>
      <c r="U4859" s="340"/>
      <c r="V4859" s="340"/>
      <c r="Z4859" s="340"/>
      <c r="AE4859" s="340"/>
      <c r="AI4859" s="340"/>
      <c r="AN4859" s="340"/>
      <c r="AO4859" s="340"/>
      <c r="AS4859" s="340"/>
      <c r="AX4859" s="340"/>
      <c r="BB4859" s="340"/>
      <c r="BD4859" s="339"/>
    </row>
    <row r="4860" spans="7:56" s="338" customFormat="1">
      <c r="G4860" s="340"/>
      <c r="L4860" s="340"/>
      <c r="P4860" s="340"/>
      <c r="U4860" s="340"/>
      <c r="V4860" s="340"/>
      <c r="Z4860" s="340"/>
      <c r="AE4860" s="340"/>
      <c r="AI4860" s="340"/>
      <c r="AN4860" s="340"/>
      <c r="AO4860" s="340"/>
      <c r="AS4860" s="340"/>
      <c r="AX4860" s="340"/>
      <c r="BB4860" s="340"/>
      <c r="BD4860" s="339"/>
    </row>
    <row r="4861" spans="7:56" s="338" customFormat="1">
      <c r="G4861" s="340"/>
      <c r="L4861" s="340"/>
      <c r="P4861" s="340"/>
      <c r="U4861" s="340"/>
      <c r="V4861" s="340"/>
      <c r="Z4861" s="340"/>
      <c r="AE4861" s="340"/>
      <c r="AI4861" s="340"/>
      <c r="AN4861" s="340"/>
      <c r="AO4861" s="340"/>
      <c r="AS4861" s="340"/>
      <c r="AX4861" s="340"/>
      <c r="BB4861" s="340"/>
      <c r="BD4861" s="339"/>
    </row>
    <row r="4862" spans="7:56" s="338" customFormat="1">
      <c r="G4862" s="340"/>
      <c r="L4862" s="340"/>
      <c r="P4862" s="340"/>
      <c r="U4862" s="340"/>
      <c r="V4862" s="340"/>
      <c r="Z4862" s="340"/>
      <c r="AE4862" s="340"/>
      <c r="AI4862" s="340"/>
      <c r="AN4862" s="340"/>
      <c r="AO4862" s="340"/>
      <c r="AS4862" s="340"/>
      <c r="AX4862" s="340"/>
      <c r="BB4862" s="340"/>
      <c r="BD4862" s="339"/>
    </row>
    <row r="4863" spans="7:56" s="338" customFormat="1">
      <c r="G4863" s="340"/>
      <c r="L4863" s="340"/>
      <c r="P4863" s="340"/>
      <c r="U4863" s="340"/>
      <c r="V4863" s="340"/>
      <c r="Z4863" s="340"/>
      <c r="AE4863" s="340"/>
      <c r="AI4863" s="340"/>
      <c r="AN4863" s="340"/>
      <c r="AO4863" s="340"/>
      <c r="AS4863" s="340"/>
      <c r="AX4863" s="340"/>
      <c r="BB4863" s="340"/>
      <c r="BD4863" s="339"/>
    </row>
    <row r="4864" spans="7:56" s="338" customFormat="1">
      <c r="G4864" s="340"/>
      <c r="L4864" s="340"/>
      <c r="P4864" s="340"/>
      <c r="U4864" s="340"/>
      <c r="V4864" s="340"/>
      <c r="Z4864" s="340"/>
      <c r="AE4864" s="340"/>
      <c r="AI4864" s="340"/>
      <c r="AN4864" s="340"/>
      <c r="AO4864" s="340"/>
      <c r="AS4864" s="340"/>
      <c r="AX4864" s="340"/>
      <c r="BB4864" s="340"/>
      <c r="BD4864" s="339"/>
    </row>
    <row r="4865" spans="7:56" s="338" customFormat="1">
      <c r="G4865" s="340"/>
      <c r="L4865" s="340"/>
      <c r="P4865" s="340"/>
      <c r="U4865" s="340"/>
      <c r="V4865" s="340"/>
      <c r="Z4865" s="340"/>
      <c r="AE4865" s="340"/>
      <c r="AI4865" s="340"/>
      <c r="AN4865" s="340"/>
      <c r="AO4865" s="340"/>
      <c r="AS4865" s="340"/>
      <c r="AX4865" s="340"/>
      <c r="BB4865" s="340"/>
      <c r="BD4865" s="339"/>
    </row>
    <row r="4866" spans="7:56" s="338" customFormat="1">
      <c r="G4866" s="340"/>
      <c r="L4866" s="340"/>
      <c r="P4866" s="340"/>
      <c r="U4866" s="340"/>
      <c r="V4866" s="340"/>
      <c r="Z4866" s="340"/>
      <c r="AE4866" s="340"/>
      <c r="AI4866" s="340"/>
      <c r="AN4866" s="340"/>
      <c r="AO4866" s="340"/>
      <c r="AS4866" s="340"/>
      <c r="AX4866" s="340"/>
      <c r="BB4866" s="340"/>
      <c r="BD4866" s="339"/>
    </row>
    <row r="4867" spans="7:56" s="338" customFormat="1">
      <c r="G4867" s="340"/>
      <c r="L4867" s="340"/>
      <c r="P4867" s="340"/>
      <c r="U4867" s="340"/>
      <c r="V4867" s="340"/>
      <c r="Z4867" s="340"/>
      <c r="AE4867" s="340"/>
      <c r="AI4867" s="340"/>
      <c r="AN4867" s="340"/>
      <c r="AO4867" s="340"/>
      <c r="AS4867" s="340"/>
      <c r="AX4867" s="340"/>
      <c r="BB4867" s="340"/>
      <c r="BD4867" s="339"/>
    </row>
    <row r="4868" spans="7:56" s="338" customFormat="1">
      <c r="G4868" s="340"/>
      <c r="L4868" s="340"/>
      <c r="P4868" s="340"/>
      <c r="U4868" s="340"/>
      <c r="V4868" s="340"/>
      <c r="Z4868" s="340"/>
      <c r="AE4868" s="340"/>
      <c r="AI4868" s="340"/>
      <c r="AN4868" s="340"/>
      <c r="AO4868" s="340"/>
      <c r="AS4868" s="340"/>
      <c r="AX4868" s="340"/>
      <c r="BB4868" s="340"/>
      <c r="BD4868" s="339"/>
    </row>
    <row r="4869" spans="7:56" s="338" customFormat="1">
      <c r="G4869" s="340"/>
      <c r="L4869" s="340"/>
      <c r="P4869" s="340"/>
      <c r="U4869" s="340"/>
      <c r="V4869" s="340"/>
      <c r="Z4869" s="340"/>
      <c r="AE4869" s="340"/>
      <c r="AI4869" s="340"/>
      <c r="AN4869" s="340"/>
      <c r="AO4869" s="340"/>
      <c r="AS4869" s="340"/>
      <c r="AX4869" s="340"/>
      <c r="BB4869" s="340"/>
      <c r="BD4869" s="339"/>
    </row>
    <row r="4870" spans="7:56" s="338" customFormat="1">
      <c r="G4870" s="340"/>
      <c r="L4870" s="340"/>
      <c r="P4870" s="340"/>
      <c r="U4870" s="340"/>
      <c r="V4870" s="340"/>
      <c r="Z4870" s="340"/>
      <c r="AE4870" s="340"/>
      <c r="AI4870" s="340"/>
      <c r="AN4870" s="340"/>
      <c r="AO4870" s="340"/>
      <c r="AS4870" s="340"/>
      <c r="AX4870" s="340"/>
      <c r="BB4870" s="340"/>
      <c r="BD4870" s="339"/>
    </row>
    <row r="4871" spans="7:56" s="338" customFormat="1">
      <c r="G4871" s="340"/>
      <c r="L4871" s="340"/>
      <c r="P4871" s="340"/>
      <c r="U4871" s="340"/>
      <c r="V4871" s="340"/>
      <c r="Z4871" s="340"/>
      <c r="AE4871" s="340"/>
      <c r="AI4871" s="340"/>
      <c r="AN4871" s="340"/>
      <c r="AO4871" s="340"/>
      <c r="AS4871" s="340"/>
      <c r="AX4871" s="340"/>
      <c r="BB4871" s="340"/>
      <c r="BD4871" s="339"/>
    </row>
    <row r="4872" spans="7:56" s="338" customFormat="1">
      <c r="G4872" s="340"/>
      <c r="L4872" s="340"/>
      <c r="P4872" s="340"/>
      <c r="U4872" s="340"/>
      <c r="V4872" s="340"/>
      <c r="Z4872" s="340"/>
      <c r="AE4872" s="340"/>
      <c r="AI4872" s="340"/>
      <c r="AN4872" s="340"/>
      <c r="AO4872" s="340"/>
      <c r="AS4872" s="340"/>
      <c r="AX4872" s="340"/>
      <c r="BB4872" s="340"/>
      <c r="BD4872" s="339"/>
    </row>
    <row r="4873" spans="7:56" s="338" customFormat="1">
      <c r="G4873" s="340"/>
      <c r="L4873" s="340"/>
      <c r="P4873" s="340"/>
      <c r="U4873" s="340"/>
      <c r="V4873" s="340"/>
      <c r="Z4873" s="340"/>
      <c r="AE4873" s="340"/>
      <c r="AI4873" s="340"/>
      <c r="AN4873" s="340"/>
      <c r="AO4873" s="340"/>
      <c r="AS4873" s="340"/>
      <c r="AX4873" s="340"/>
      <c r="BB4873" s="340"/>
      <c r="BD4873" s="339"/>
    </row>
    <row r="4874" spans="7:56" s="338" customFormat="1">
      <c r="G4874" s="340"/>
      <c r="L4874" s="340"/>
      <c r="P4874" s="340"/>
      <c r="U4874" s="340"/>
      <c r="V4874" s="340"/>
      <c r="Z4874" s="340"/>
      <c r="AE4874" s="340"/>
      <c r="AI4874" s="340"/>
      <c r="AN4874" s="340"/>
      <c r="AO4874" s="340"/>
      <c r="AS4874" s="340"/>
      <c r="AX4874" s="340"/>
      <c r="BB4874" s="340"/>
      <c r="BD4874" s="339"/>
    </row>
    <row r="4875" spans="7:56" s="338" customFormat="1">
      <c r="G4875" s="340"/>
      <c r="L4875" s="340"/>
      <c r="P4875" s="340"/>
      <c r="U4875" s="340"/>
      <c r="V4875" s="340"/>
      <c r="Z4875" s="340"/>
      <c r="AE4875" s="340"/>
      <c r="AI4875" s="340"/>
      <c r="AN4875" s="340"/>
      <c r="AO4875" s="340"/>
      <c r="AS4875" s="340"/>
      <c r="AX4875" s="340"/>
      <c r="BB4875" s="340"/>
      <c r="BD4875" s="339"/>
    </row>
    <row r="4876" spans="7:56" s="338" customFormat="1">
      <c r="G4876" s="340"/>
      <c r="L4876" s="340"/>
      <c r="P4876" s="340"/>
      <c r="U4876" s="340"/>
      <c r="V4876" s="340"/>
      <c r="Z4876" s="340"/>
      <c r="AE4876" s="340"/>
      <c r="AI4876" s="340"/>
      <c r="AN4876" s="340"/>
      <c r="AO4876" s="340"/>
      <c r="AS4876" s="340"/>
      <c r="AX4876" s="340"/>
      <c r="BB4876" s="340"/>
      <c r="BD4876" s="339"/>
    </row>
    <row r="4877" spans="7:56" s="338" customFormat="1">
      <c r="G4877" s="340"/>
      <c r="L4877" s="340"/>
      <c r="P4877" s="340"/>
      <c r="U4877" s="340"/>
      <c r="V4877" s="340"/>
      <c r="Z4877" s="340"/>
      <c r="AE4877" s="340"/>
      <c r="AI4877" s="340"/>
      <c r="AN4877" s="340"/>
      <c r="AO4877" s="340"/>
      <c r="AS4877" s="340"/>
      <c r="AX4877" s="340"/>
      <c r="BB4877" s="340"/>
      <c r="BD4877" s="339"/>
    </row>
    <row r="4878" spans="7:56" s="338" customFormat="1">
      <c r="G4878" s="340"/>
      <c r="L4878" s="340"/>
      <c r="P4878" s="340"/>
      <c r="U4878" s="340"/>
      <c r="V4878" s="340"/>
      <c r="Z4878" s="340"/>
      <c r="AE4878" s="340"/>
      <c r="AI4878" s="340"/>
      <c r="AN4878" s="340"/>
      <c r="AO4878" s="340"/>
      <c r="AS4878" s="340"/>
      <c r="AX4878" s="340"/>
      <c r="BB4878" s="340"/>
      <c r="BD4878" s="339"/>
    </row>
    <row r="4879" spans="7:56" s="338" customFormat="1">
      <c r="G4879" s="340"/>
      <c r="L4879" s="340"/>
      <c r="P4879" s="340"/>
      <c r="U4879" s="340"/>
      <c r="V4879" s="340"/>
      <c r="Z4879" s="340"/>
      <c r="AE4879" s="340"/>
      <c r="AI4879" s="340"/>
      <c r="AN4879" s="340"/>
      <c r="AO4879" s="340"/>
      <c r="AS4879" s="340"/>
      <c r="AX4879" s="340"/>
      <c r="BB4879" s="340"/>
      <c r="BD4879" s="339"/>
    </row>
    <row r="4880" spans="7:56" s="338" customFormat="1">
      <c r="G4880" s="340"/>
      <c r="L4880" s="340"/>
      <c r="P4880" s="340"/>
      <c r="U4880" s="340"/>
      <c r="V4880" s="340"/>
      <c r="Z4880" s="340"/>
      <c r="AE4880" s="340"/>
      <c r="AI4880" s="340"/>
      <c r="AN4880" s="340"/>
      <c r="AO4880" s="340"/>
      <c r="AS4880" s="340"/>
      <c r="AX4880" s="340"/>
      <c r="BB4880" s="340"/>
      <c r="BD4880" s="339"/>
    </row>
    <row r="4881" spans="7:56" s="338" customFormat="1">
      <c r="G4881" s="340"/>
      <c r="L4881" s="340"/>
      <c r="P4881" s="340"/>
      <c r="U4881" s="340"/>
      <c r="V4881" s="340"/>
      <c r="Z4881" s="340"/>
      <c r="AE4881" s="340"/>
      <c r="AI4881" s="340"/>
      <c r="AN4881" s="340"/>
      <c r="AO4881" s="340"/>
      <c r="AS4881" s="340"/>
      <c r="AX4881" s="340"/>
      <c r="BB4881" s="340"/>
      <c r="BD4881" s="339"/>
    </row>
    <row r="4882" spans="7:56" s="338" customFormat="1">
      <c r="G4882" s="340"/>
      <c r="L4882" s="340"/>
      <c r="P4882" s="340"/>
      <c r="U4882" s="340"/>
      <c r="V4882" s="340"/>
      <c r="Z4882" s="340"/>
      <c r="AE4882" s="340"/>
      <c r="AI4882" s="340"/>
      <c r="AN4882" s="340"/>
      <c r="AO4882" s="340"/>
      <c r="AS4882" s="340"/>
      <c r="AX4882" s="340"/>
      <c r="BB4882" s="340"/>
      <c r="BD4882" s="339"/>
    </row>
    <row r="4883" spans="7:56" s="338" customFormat="1">
      <c r="G4883" s="340"/>
      <c r="L4883" s="340"/>
      <c r="P4883" s="340"/>
      <c r="U4883" s="340"/>
      <c r="V4883" s="340"/>
      <c r="Z4883" s="340"/>
      <c r="AE4883" s="340"/>
      <c r="AI4883" s="340"/>
      <c r="AN4883" s="340"/>
      <c r="AO4883" s="340"/>
      <c r="AS4883" s="340"/>
      <c r="AX4883" s="340"/>
      <c r="BB4883" s="340"/>
      <c r="BD4883" s="339"/>
    </row>
    <row r="4884" spans="7:56" s="338" customFormat="1">
      <c r="G4884" s="340"/>
      <c r="L4884" s="340"/>
      <c r="P4884" s="340"/>
      <c r="U4884" s="340"/>
      <c r="V4884" s="340"/>
      <c r="Z4884" s="340"/>
      <c r="AE4884" s="340"/>
      <c r="AI4884" s="340"/>
      <c r="AN4884" s="340"/>
      <c r="AO4884" s="340"/>
      <c r="AS4884" s="340"/>
      <c r="AX4884" s="340"/>
      <c r="BB4884" s="340"/>
      <c r="BD4884" s="339"/>
    </row>
    <row r="4885" spans="7:56" s="338" customFormat="1">
      <c r="G4885" s="340"/>
      <c r="L4885" s="340"/>
      <c r="P4885" s="340"/>
      <c r="U4885" s="340"/>
      <c r="V4885" s="340"/>
      <c r="Z4885" s="340"/>
      <c r="AE4885" s="340"/>
      <c r="AI4885" s="340"/>
      <c r="AN4885" s="340"/>
      <c r="AO4885" s="340"/>
      <c r="AS4885" s="340"/>
      <c r="AX4885" s="340"/>
      <c r="BB4885" s="340"/>
      <c r="BD4885" s="339"/>
    </row>
    <row r="4886" spans="7:56" s="338" customFormat="1">
      <c r="G4886" s="340"/>
      <c r="L4886" s="340"/>
      <c r="P4886" s="340"/>
      <c r="U4886" s="340"/>
      <c r="V4886" s="340"/>
      <c r="Z4886" s="340"/>
      <c r="AE4886" s="340"/>
      <c r="AI4886" s="340"/>
      <c r="AN4886" s="340"/>
      <c r="AO4886" s="340"/>
      <c r="AS4886" s="340"/>
      <c r="AX4886" s="340"/>
      <c r="BB4886" s="340"/>
      <c r="BD4886" s="339"/>
    </row>
    <row r="4887" spans="7:56" s="338" customFormat="1">
      <c r="G4887" s="340"/>
      <c r="L4887" s="340"/>
      <c r="P4887" s="340"/>
      <c r="U4887" s="340"/>
      <c r="V4887" s="340"/>
      <c r="Z4887" s="340"/>
      <c r="AE4887" s="340"/>
      <c r="AI4887" s="340"/>
      <c r="AN4887" s="340"/>
      <c r="AO4887" s="340"/>
      <c r="AS4887" s="340"/>
      <c r="AX4887" s="340"/>
      <c r="BB4887" s="340"/>
      <c r="BD4887" s="339"/>
    </row>
    <row r="4888" spans="7:56" s="338" customFormat="1">
      <c r="G4888" s="340"/>
      <c r="L4888" s="340"/>
      <c r="P4888" s="340"/>
      <c r="U4888" s="340"/>
      <c r="V4888" s="340"/>
      <c r="Z4888" s="340"/>
      <c r="AE4888" s="340"/>
      <c r="AI4888" s="340"/>
      <c r="AN4888" s="340"/>
      <c r="AO4888" s="340"/>
      <c r="AS4888" s="340"/>
      <c r="AX4888" s="340"/>
      <c r="BB4888" s="340"/>
      <c r="BD4888" s="339"/>
    </row>
    <row r="4889" spans="7:56" s="338" customFormat="1">
      <c r="G4889" s="340"/>
      <c r="L4889" s="340"/>
      <c r="P4889" s="340"/>
      <c r="U4889" s="340"/>
      <c r="V4889" s="340"/>
      <c r="Z4889" s="340"/>
      <c r="AE4889" s="340"/>
      <c r="AI4889" s="340"/>
      <c r="AN4889" s="340"/>
      <c r="AO4889" s="340"/>
      <c r="AS4889" s="340"/>
      <c r="AX4889" s="340"/>
      <c r="BB4889" s="340"/>
      <c r="BD4889" s="339"/>
    </row>
    <row r="4890" spans="7:56" s="338" customFormat="1">
      <c r="G4890" s="340"/>
      <c r="L4890" s="340"/>
      <c r="P4890" s="340"/>
      <c r="U4890" s="340"/>
      <c r="V4890" s="340"/>
      <c r="Z4890" s="340"/>
      <c r="AE4890" s="340"/>
      <c r="AI4890" s="340"/>
      <c r="AN4890" s="340"/>
      <c r="AO4890" s="340"/>
      <c r="AS4890" s="340"/>
      <c r="AX4890" s="340"/>
      <c r="BB4890" s="340"/>
      <c r="BD4890" s="339"/>
    </row>
    <row r="4891" spans="7:56" s="338" customFormat="1">
      <c r="G4891" s="340"/>
      <c r="L4891" s="340"/>
      <c r="P4891" s="340"/>
      <c r="U4891" s="340"/>
      <c r="V4891" s="340"/>
      <c r="Z4891" s="340"/>
      <c r="AE4891" s="340"/>
      <c r="AI4891" s="340"/>
      <c r="AN4891" s="340"/>
      <c r="AO4891" s="340"/>
      <c r="AS4891" s="340"/>
      <c r="AX4891" s="340"/>
      <c r="BB4891" s="340"/>
      <c r="BD4891" s="339"/>
    </row>
    <row r="4892" spans="7:56" s="338" customFormat="1">
      <c r="G4892" s="340"/>
      <c r="L4892" s="340"/>
      <c r="P4892" s="340"/>
      <c r="U4892" s="340"/>
      <c r="V4892" s="340"/>
      <c r="Z4892" s="340"/>
      <c r="AE4892" s="340"/>
      <c r="AI4892" s="340"/>
      <c r="AN4892" s="340"/>
      <c r="AO4892" s="340"/>
      <c r="AS4892" s="340"/>
      <c r="AX4892" s="340"/>
      <c r="BB4892" s="340"/>
      <c r="BD4892" s="339"/>
    </row>
    <row r="4893" spans="7:56" s="338" customFormat="1">
      <c r="G4893" s="340"/>
      <c r="L4893" s="340"/>
      <c r="P4893" s="340"/>
      <c r="U4893" s="340"/>
      <c r="V4893" s="340"/>
      <c r="Z4893" s="340"/>
      <c r="AE4893" s="340"/>
      <c r="AI4893" s="340"/>
      <c r="AN4893" s="340"/>
      <c r="AO4893" s="340"/>
      <c r="AS4893" s="340"/>
      <c r="AX4893" s="340"/>
      <c r="BB4893" s="340"/>
      <c r="BD4893" s="339"/>
    </row>
    <row r="4894" spans="7:56" s="338" customFormat="1">
      <c r="G4894" s="340"/>
      <c r="L4894" s="340"/>
      <c r="P4894" s="340"/>
      <c r="U4894" s="340"/>
      <c r="V4894" s="340"/>
      <c r="Z4894" s="340"/>
      <c r="AE4894" s="340"/>
      <c r="AI4894" s="340"/>
      <c r="AN4894" s="340"/>
      <c r="AO4894" s="340"/>
      <c r="AS4894" s="340"/>
      <c r="AX4894" s="340"/>
      <c r="BB4894" s="340"/>
      <c r="BD4894" s="339"/>
    </row>
    <row r="4895" spans="7:56" s="338" customFormat="1">
      <c r="G4895" s="340"/>
      <c r="L4895" s="340"/>
      <c r="P4895" s="340"/>
      <c r="U4895" s="340"/>
      <c r="V4895" s="340"/>
      <c r="Z4895" s="340"/>
      <c r="AE4895" s="340"/>
      <c r="AI4895" s="340"/>
      <c r="AN4895" s="340"/>
      <c r="AO4895" s="340"/>
      <c r="AS4895" s="340"/>
      <c r="AX4895" s="340"/>
      <c r="BB4895" s="340"/>
      <c r="BD4895" s="339"/>
    </row>
    <row r="4896" spans="7:56" s="338" customFormat="1">
      <c r="G4896" s="340"/>
      <c r="L4896" s="340"/>
      <c r="P4896" s="340"/>
      <c r="U4896" s="340"/>
      <c r="V4896" s="340"/>
      <c r="Z4896" s="340"/>
      <c r="AE4896" s="340"/>
      <c r="AI4896" s="340"/>
      <c r="AN4896" s="340"/>
      <c r="AO4896" s="340"/>
      <c r="AS4896" s="340"/>
      <c r="AX4896" s="340"/>
      <c r="BB4896" s="340"/>
      <c r="BD4896" s="339"/>
    </row>
    <row r="4897" spans="7:56" s="338" customFormat="1">
      <c r="G4897" s="340"/>
      <c r="L4897" s="340"/>
      <c r="P4897" s="340"/>
      <c r="U4897" s="340"/>
      <c r="V4897" s="340"/>
      <c r="Z4897" s="340"/>
      <c r="AE4897" s="340"/>
      <c r="AI4897" s="340"/>
      <c r="AN4897" s="340"/>
      <c r="AO4897" s="340"/>
      <c r="AS4897" s="340"/>
      <c r="AX4897" s="340"/>
      <c r="BB4897" s="340"/>
      <c r="BD4897" s="339"/>
    </row>
    <row r="4898" spans="7:56" s="338" customFormat="1">
      <c r="G4898" s="340"/>
      <c r="L4898" s="340"/>
      <c r="P4898" s="340"/>
      <c r="U4898" s="340"/>
      <c r="V4898" s="340"/>
      <c r="Z4898" s="340"/>
      <c r="AE4898" s="340"/>
      <c r="AI4898" s="340"/>
      <c r="AN4898" s="340"/>
      <c r="AO4898" s="340"/>
      <c r="AS4898" s="340"/>
      <c r="AX4898" s="340"/>
      <c r="BB4898" s="340"/>
      <c r="BD4898" s="339"/>
    </row>
    <row r="4899" spans="7:56" s="338" customFormat="1">
      <c r="G4899" s="340"/>
      <c r="L4899" s="340"/>
      <c r="P4899" s="340"/>
      <c r="U4899" s="340"/>
      <c r="V4899" s="340"/>
      <c r="Z4899" s="340"/>
      <c r="AE4899" s="340"/>
      <c r="AI4899" s="340"/>
      <c r="AN4899" s="340"/>
      <c r="AO4899" s="340"/>
      <c r="AS4899" s="340"/>
      <c r="AX4899" s="340"/>
      <c r="BB4899" s="340"/>
      <c r="BD4899" s="339"/>
    </row>
    <row r="4900" spans="7:56" s="338" customFormat="1">
      <c r="G4900" s="340"/>
      <c r="L4900" s="340"/>
      <c r="P4900" s="340"/>
      <c r="U4900" s="340"/>
      <c r="V4900" s="340"/>
      <c r="Z4900" s="340"/>
      <c r="AE4900" s="340"/>
      <c r="AI4900" s="340"/>
      <c r="AN4900" s="340"/>
      <c r="AO4900" s="340"/>
      <c r="AS4900" s="340"/>
      <c r="AX4900" s="340"/>
      <c r="BB4900" s="340"/>
      <c r="BD4900" s="339"/>
    </row>
    <row r="4901" spans="7:56" s="338" customFormat="1">
      <c r="G4901" s="340"/>
      <c r="L4901" s="340"/>
      <c r="P4901" s="340"/>
      <c r="U4901" s="340"/>
      <c r="V4901" s="340"/>
      <c r="Z4901" s="340"/>
      <c r="AE4901" s="340"/>
      <c r="AI4901" s="340"/>
      <c r="AN4901" s="340"/>
      <c r="AO4901" s="340"/>
      <c r="AS4901" s="340"/>
      <c r="AX4901" s="340"/>
      <c r="BB4901" s="340"/>
      <c r="BD4901" s="339"/>
    </row>
    <row r="4902" spans="7:56" s="338" customFormat="1">
      <c r="G4902" s="340"/>
      <c r="L4902" s="340"/>
      <c r="P4902" s="340"/>
      <c r="U4902" s="340"/>
      <c r="V4902" s="340"/>
      <c r="Z4902" s="340"/>
      <c r="AE4902" s="340"/>
      <c r="AI4902" s="340"/>
      <c r="AN4902" s="340"/>
      <c r="AO4902" s="340"/>
      <c r="AS4902" s="340"/>
      <c r="AX4902" s="340"/>
      <c r="BB4902" s="340"/>
      <c r="BD4902" s="339"/>
    </row>
    <row r="4903" spans="7:56" s="338" customFormat="1">
      <c r="G4903" s="340"/>
      <c r="L4903" s="340"/>
      <c r="P4903" s="340"/>
      <c r="U4903" s="340"/>
      <c r="V4903" s="340"/>
      <c r="Z4903" s="340"/>
      <c r="AE4903" s="340"/>
      <c r="AI4903" s="340"/>
      <c r="AN4903" s="340"/>
      <c r="AO4903" s="340"/>
      <c r="AS4903" s="340"/>
      <c r="AX4903" s="340"/>
      <c r="BB4903" s="340"/>
      <c r="BD4903" s="339"/>
    </row>
    <row r="4904" spans="7:56" s="338" customFormat="1">
      <c r="G4904" s="340"/>
      <c r="L4904" s="340"/>
      <c r="P4904" s="340"/>
      <c r="U4904" s="340"/>
      <c r="V4904" s="340"/>
      <c r="Z4904" s="340"/>
      <c r="AE4904" s="340"/>
      <c r="AI4904" s="340"/>
      <c r="AN4904" s="340"/>
      <c r="AO4904" s="340"/>
      <c r="AS4904" s="340"/>
      <c r="AX4904" s="340"/>
      <c r="BB4904" s="340"/>
      <c r="BD4904" s="339"/>
    </row>
    <row r="4905" spans="7:56" s="338" customFormat="1">
      <c r="G4905" s="340"/>
      <c r="L4905" s="340"/>
      <c r="P4905" s="340"/>
      <c r="U4905" s="340"/>
      <c r="V4905" s="340"/>
      <c r="Z4905" s="340"/>
      <c r="AE4905" s="340"/>
      <c r="AI4905" s="340"/>
      <c r="AN4905" s="340"/>
      <c r="AO4905" s="340"/>
      <c r="AS4905" s="340"/>
      <c r="AX4905" s="340"/>
      <c r="BB4905" s="340"/>
      <c r="BD4905" s="339"/>
    </row>
    <row r="4906" spans="7:56" s="338" customFormat="1">
      <c r="G4906" s="340"/>
      <c r="L4906" s="340"/>
      <c r="P4906" s="340"/>
      <c r="U4906" s="340"/>
      <c r="V4906" s="340"/>
      <c r="Z4906" s="340"/>
      <c r="AE4906" s="340"/>
      <c r="AI4906" s="340"/>
      <c r="AN4906" s="340"/>
      <c r="AO4906" s="340"/>
      <c r="AS4906" s="340"/>
      <c r="AX4906" s="340"/>
      <c r="BB4906" s="340"/>
      <c r="BD4906" s="339"/>
    </row>
    <row r="4907" spans="7:56" s="338" customFormat="1">
      <c r="G4907" s="340"/>
      <c r="L4907" s="340"/>
      <c r="P4907" s="340"/>
      <c r="U4907" s="340"/>
      <c r="V4907" s="340"/>
      <c r="Z4907" s="340"/>
      <c r="AE4907" s="340"/>
      <c r="AI4907" s="340"/>
      <c r="AN4907" s="340"/>
      <c r="AO4907" s="340"/>
      <c r="AS4907" s="340"/>
      <c r="AX4907" s="340"/>
      <c r="BB4907" s="340"/>
      <c r="BD4907" s="339"/>
    </row>
    <row r="4908" spans="7:56" s="338" customFormat="1">
      <c r="G4908" s="340"/>
      <c r="L4908" s="340"/>
      <c r="P4908" s="340"/>
      <c r="U4908" s="340"/>
      <c r="V4908" s="340"/>
      <c r="Z4908" s="340"/>
      <c r="AE4908" s="340"/>
      <c r="AI4908" s="340"/>
      <c r="AN4908" s="340"/>
      <c r="AO4908" s="340"/>
      <c r="AS4908" s="340"/>
      <c r="AX4908" s="340"/>
      <c r="BB4908" s="340"/>
      <c r="BD4908" s="339"/>
    </row>
    <row r="4909" spans="7:56" s="338" customFormat="1">
      <c r="G4909" s="340"/>
      <c r="L4909" s="340"/>
      <c r="P4909" s="340"/>
      <c r="U4909" s="340"/>
      <c r="V4909" s="340"/>
      <c r="Z4909" s="340"/>
      <c r="AE4909" s="340"/>
      <c r="AI4909" s="340"/>
      <c r="AN4909" s="340"/>
      <c r="AO4909" s="340"/>
      <c r="AS4909" s="340"/>
      <c r="AX4909" s="340"/>
      <c r="BB4909" s="340"/>
      <c r="BD4909" s="339"/>
    </row>
    <row r="4910" spans="7:56" s="338" customFormat="1">
      <c r="G4910" s="340"/>
      <c r="L4910" s="340"/>
      <c r="P4910" s="340"/>
      <c r="U4910" s="340"/>
      <c r="V4910" s="340"/>
      <c r="Z4910" s="340"/>
      <c r="AE4910" s="340"/>
      <c r="AI4910" s="340"/>
      <c r="AN4910" s="340"/>
      <c r="AO4910" s="340"/>
      <c r="AS4910" s="340"/>
      <c r="AX4910" s="340"/>
      <c r="BB4910" s="340"/>
      <c r="BD4910" s="339"/>
    </row>
    <row r="4911" spans="7:56" s="338" customFormat="1">
      <c r="G4911" s="340"/>
      <c r="L4911" s="340"/>
      <c r="P4911" s="340"/>
      <c r="U4911" s="340"/>
      <c r="V4911" s="340"/>
      <c r="Z4911" s="340"/>
      <c r="AE4911" s="340"/>
      <c r="AI4911" s="340"/>
      <c r="AN4911" s="340"/>
      <c r="AO4911" s="340"/>
      <c r="AS4911" s="340"/>
      <c r="AX4911" s="340"/>
      <c r="BB4911" s="340"/>
      <c r="BD4911" s="339"/>
    </row>
    <row r="4912" spans="7:56" s="338" customFormat="1">
      <c r="G4912" s="340"/>
      <c r="L4912" s="340"/>
      <c r="P4912" s="340"/>
      <c r="U4912" s="340"/>
      <c r="V4912" s="340"/>
      <c r="Z4912" s="340"/>
      <c r="AE4912" s="340"/>
      <c r="AI4912" s="340"/>
      <c r="AN4912" s="340"/>
      <c r="AO4912" s="340"/>
      <c r="AS4912" s="340"/>
      <c r="AX4912" s="340"/>
      <c r="BB4912" s="340"/>
      <c r="BD4912" s="339"/>
    </row>
    <row r="4913" spans="7:56" s="338" customFormat="1">
      <c r="G4913" s="340"/>
      <c r="L4913" s="340"/>
      <c r="P4913" s="340"/>
      <c r="U4913" s="340"/>
      <c r="V4913" s="340"/>
      <c r="Z4913" s="340"/>
      <c r="AE4913" s="340"/>
      <c r="AI4913" s="340"/>
      <c r="AN4913" s="340"/>
      <c r="AO4913" s="340"/>
      <c r="AS4913" s="340"/>
      <c r="AX4913" s="340"/>
      <c r="BB4913" s="340"/>
      <c r="BD4913" s="339"/>
    </row>
    <row r="4914" spans="7:56" s="338" customFormat="1">
      <c r="G4914" s="340"/>
      <c r="L4914" s="340"/>
      <c r="P4914" s="340"/>
      <c r="U4914" s="340"/>
      <c r="V4914" s="340"/>
      <c r="Z4914" s="340"/>
      <c r="AE4914" s="340"/>
      <c r="AI4914" s="340"/>
      <c r="AN4914" s="340"/>
      <c r="AO4914" s="340"/>
      <c r="AS4914" s="340"/>
      <c r="AX4914" s="340"/>
      <c r="BB4914" s="340"/>
      <c r="BD4914" s="339"/>
    </row>
    <row r="4915" spans="7:56" s="338" customFormat="1">
      <c r="G4915" s="340"/>
      <c r="L4915" s="340"/>
      <c r="P4915" s="340"/>
      <c r="U4915" s="340"/>
      <c r="V4915" s="340"/>
      <c r="Z4915" s="340"/>
      <c r="AE4915" s="340"/>
      <c r="AI4915" s="340"/>
      <c r="AN4915" s="340"/>
      <c r="AO4915" s="340"/>
      <c r="AS4915" s="340"/>
      <c r="AX4915" s="340"/>
      <c r="BB4915" s="340"/>
      <c r="BD4915" s="339"/>
    </row>
    <row r="4916" spans="7:56" s="338" customFormat="1">
      <c r="G4916" s="340"/>
      <c r="L4916" s="340"/>
      <c r="P4916" s="340"/>
      <c r="U4916" s="340"/>
      <c r="V4916" s="340"/>
      <c r="Z4916" s="340"/>
      <c r="AE4916" s="340"/>
      <c r="AI4916" s="340"/>
      <c r="AN4916" s="340"/>
      <c r="AO4916" s="340"/>
      <c r="AS4916" s="340"/>
      <c r="AX4916" s="340"/>
      <c r="BB4916" s="340"/>
      <c r="BD4916" s="339"/>
    </row>
    <row r="4917" spans="7:56" s="338" customFormat="1">
      <c r="G4917" s="340"/>
      <c r="L4917" s="340"/>
      <c r="P4917" s="340"/>
      <c r="U4917" s="340"/>
      <c r="V4917" s="340"/>
      <c r="Z4917" s="340"/>
      <c r="AE4917" s="340"/>
      <c r="AI4917" s="340"/>
      <c r="AN4917" s="340"/>
      <c r="AO4917" s="340"/>
      <c r="AS4917" s="340"/>
      <c r="AX4917" s="340"/>
      <c r="BB4917" s="340"/>
      <c r="BD4917" s="339"/>
    </row>
    <row r="4918" spans="7:56" s="338" customFormat="1">
      <c r="G4918" s="340"/>
      <c r="L4918" s="340"/>
      <c r="P4918" s="340"/>
      <c r="U4918" s="340"/>
      <c r="V4918" s="340"/>
      <c r="Z4918" s="340"/>
      <c r="AE4918" s="340"/>
      <c r="AI4918" s="340"/>
      <c r="AN4918" s="340"/>
      <c r="AO4918" s="340"/>
      <c r="AS4918" s="340"/>
      <c r="AX4918" s="340"/>
      <c r="BB4918" s="340"/>
      <c r="BD4918" s="339"/>
    </row>
    <row r="4919" spans="7:56" s="338" customFormat="1">
      <c r="G4919" s="340"/>
      <c r="L4919" s="340"/>
      <c r="P4919" s="340"/>
      <c r="U4919" s="340"/>
      <c r="V4919" s="340"/>
      <c r="Z4919" s="340"/>
      <c r="AE4919" s="340"/>
      <c r="AI4919" s="340"/>
      <c r="AN4919" s="340"/>
      <c r="AO4919" s="340"/>
      <c r="AS4919" s="340"/>
      <c r="AX4919" s="340"/>
      <c r="BB4919" s="340"/>
      <c r="BD4919" s="339"/>
    </row>
    <row r="4920" spans="7:56" s="338" customFormat="1">
      <c r="G4920" s="340"/>
      <c r="L4920" s="340"/>
      <c r="P4920" s="340"/>
      <c r="U4920" s="340"/>
      <c r="V4920" s="340"/>
      <c r="Z4920" s="340"/>
      <c r="AE4920" s="340"/>
      <c r="AI4920" s="340"/>
      <c r="AN4920" s="340"/>
      <c r="AO4920" s="340"/>
      <c r="AS4920" s="340"/>
      <c r="AX4920" s="340"/>
      <c r="BB4920" s="340"/>
      <c r="BD4920" s="339"/>
    </row>
    <row r="4921" spans="7:56" s="338" customFormat="1">
      <c r="G4921" s="340"/>
      <c r="L4921" s="340"/>
      <c r="P4921" s="340"/>
      <c r="U4921" s="340"/>
      <c r="V4921" s="340"/>
      <c r="Z4921" s="340"/>
      <c r="AE4921" s="340"/>
      <c r="AI4921" s="340"/>
      <c r="AN4921" s="340"/>
      <c r="AO4921" s="340"/>
      <c r="AS4921" s="340"/>
      <c r="AX4921" s="340"/>
      <c r="BB4921" s="340"/>
      <c r="BD4921" s="339"/>
    </row>
    <row r="4922" spans="7:56" s="338" customFormat="1">
      <c r="G4922" s="340"/>
      <c r="L4922" s="340"/>
      <c r="P4922" s="340"/>
      <c r="U4922" s="340"/>
      <c r="V4922" s="340"/>
      <c r="Z4922" s="340"/>
      <c r="AE4922" s="340"/>
      <c r="AI4922" s="340"/>
      <c r="AN4922" s="340"/>
      <c r="AO4922" s="340"/>
      <c r="AS4922" s="340"/>
      <c r="AX4922" s="340"/>
      <c r="BB4922" s="340"/>
      <c r="BD4922" s="339"/>
    </row>
    <row r="4923" spans="7:56" s="338" customFormat="1">
      <c r="G4923" s="340"/>
      <c r="L4923" s="340"/>
      <c r="P4923" s="340"/>
      <c r="U4923" s="340"/>
      <c r="V4923" s="340"/>
      <c r="Z4923" s="340"/>
      <c r="AE4923" s="340"/>
      <c r="AI4923" s="340"/>
      <c r="AN4923" s="340"/>
      <c r="AO4923" s="340"/>
      <c r="AS4923" s="340"/>
      <c r="AX4923" s="340"/>
      <c r="BB4923" s="340"/>
      <c r="BD4923" s="339"/>
    </row>
    <row r="4924" spans="7:56" s="338" customFormat="1">
      <c r="G4924" s="340"/>
      <c r="L4924" s="340"/>
      <c r="P4924" s="340"/>
      <c r="U4924" s="340"/>
      <c r="V4924" s="340"/>
      <c r="Z4924" s="340"/>
      <c r="AE4924" s="340"/>
      <c r="AI4924" s="340"/>
      <c r="AN4924" s="340"/>
      <c r="AO4924" s="340"/>
      <c r="AS4924" s="340"/>
      <c r="AX4924" s="340"/>
      <c r="BB4924" s="340"/>
      <c r="BD4924" s="339"/>
    </row>
    <row r="4925" spans="7:56" s="338" customFormat="1">
      <c r="G4925" s="340"/>
      <c r="L4925" s="340"/>
      <c r="P4925" s="340"/>
      <c r="U4925" s="340"/>
      <c r="V4925" s="340"/>
      <c r="Z4925" s="340"/>
      <c r="AE4925" s="340"/>
      <c r="AI4925" s="340"/>
      <c r="AN4925" s="340"/>
      <c r="AO4925" s="340"/>
      <c r="AS4925" s="340"/>
      <c r="AX4925" s="340"/>
      <c r="BB4925" s="340"/>
      <c r="BD4925" s="339"/>
    </row>
    <row r="4926" spans="7:56" s="338" customFormat="1">
      <c r="G4926" s="340"/>
      <c r="L4926" s="340"/>
      <c r="P4926" s="340"/>
      <c r="U4926" s="340"/>
      <c r="V4926" s="340"/>
      <c r="Z4926" s="340"/>
      <c r="AE4926" s="340"/>
      <c r="AI4926" s="340"/>
      <c r="AN4926" s="340"/>
      <c r="AO4926" s="340"/>
      <c r="AS4926" s="340"/>
      <c r="AX4926" s="340"/>
      <c r="BB4926" s="340"/>
      <c r="BD4926" s="339"/>
    </row>
    <row r="4927" spans="7:56" s="338" customFormat="1">
      <c r="G4927" s="340"/>
      <c r="L4927" s="340"/>
      <c r="P4927" s="340"/>
      <c r="U4927" s="340"/>
      <c r="V4927" s="340"/>
      <c r="Z4927" s="340"/>
      <c r="AE4927" s="340"/>
      <c r="AI4927" s="340"/>
      <c r="AN4927" s="340"/>
      <c r="AO4927" s="340"/>
      <c r="AS4927" s="340"/>
      <c r="AX4927" s="340"/>
      <c r="BB4927" s="340"/>
      <c r="BD4927" s="339"/>
    </row>
    <row r="4928" spans="7:56" s="338" customFormat="1">
      <c r="G4928" s="340"/>
      <c r="L4928" s="340"/>
      <c r="P4928" s="340"/>
      <c r="U4928" s="340"/>
      <c r="V4928" s="340"/>
      <c r="Z4928" s="340"/>
      <c r="AE4928" s="340"/>
      <c r="AI4928" s="340"/>
      <c r="AN4928" s="340"/>
      <c r="AO4928" s="340"/>
      <c r="AS4928" s="340"/>
      <c r="AX4928" s="340"/>
      <c r="BB4928" s="340"/>
      <c r="BD4928" s="339"/>
    </row>
    <row r="4929" spans="7:56" s="338" customFormat="1">
      <c r="G4929" s="340"/>
      <c r="L4929" s="340"/>
      <c r="P4929" s="340"/>
      <c r="U4929" s="340"/>
      <c r="V4929" s="340"/>
      <c r="Z4929" s="340"/>
      <c r="AE4929" s="340"/>
      <c r="AI4929" s="340"/>
      <c r="AN4929" s="340"/>
      <c r="AO4929" s="340"/>
      <c r="AS4929" s="340"/>
      <c r="AX4929" s="340"/>
      <c r="BB4929" s="340"/>
      <c r="BD4929" s="339"/>
    </row>
    <row r="4930" spans="7:56" s="338" customFormat="1">
      <c r="G4930" s="340"/>
      <c r="L4930" s="340"/>
      <c r="P4930" s="340"/>
      <c r="U4930" s="340"/>
      <c r="V4930" s="340"/>
      <c r="Z4930" s="340"/>
      <c r="AE4930" s="340"/>
      <c r="AI4930" s="340"/>
      <c r="AN4930" s="340"/>
      <c r="AO4930" s="340"/>
      <c r="AS4930" s="340"/>
      <c r="AX4930" s="340"/>
      <c r="BB4930" s="340"/>
      <c r="BD4930" s="339"/>
    </row>
    <row r="4931" spans="7:56" s="338" customFormat="1">
      <c r="G4931" s="340"/>
      <c r="L4931" s="340"/>
      <c r="P4931" s="340"/>
      <c r="U4931" s="340"/>
      <c r="V4931" s="340"/>
      <c r="Z4931" s="340"/>
      <c r="AE4931" s="340"/>
      <c r="AI4931" s="340"/>
      <c r="AN4931" s="340"/>
      <c r="AO4931" s="340"/>
      <c r="AS4931" s="340"/>
      <c r="AX4931" s="340"/>
      <c r="BB4931" s="340"/>
      <c r="BD4931" s="339"/>
    </row>
    <row r="4932" spans="7:56" s="338" customFormat="1">
      <c r="G4932" s="340"/>
      <c r="L4932" s="340"/>
      <c r="P4932" s="340"/>
      <c r="U4932" s="340"/>
      <c r="V4932" s="340"/>
      <c r="Z4932" s="340"/>
      <c r="AE4932" s="340"/>
      <c r="AI4932" s="340"/>
      <c r="AN4932" s="340"/>
      <c r="AO4932" s="340"/>
      <c r="AS4932" s="340"/>
      <c r="AX4932" s="340"/>
      <c r="BB4932" s="340"/>
      <c r="BD4932" s="339"/>
    </row>
    <row r="4933" spans="7:56" s="338" customFormat="1">
      <c r="G4933" s="340"/>
      <c r="L4933" s="340"/>
      <c r="P4933" s="340"/>
      <c r="U4933" s="340"/>
      <c r="V4933" s="340"/>
      <c r="Z4933" s="340"/>
      <c r="AE4933" s="340"/>
      <c r="AI4933" s="340"/>
      <c r="AN4933" s="340"/>
      <c r="AO4933" s="340"/>
      <c r="AS4933" s="340"/>
      <c r="AX4933" s="340"/>
      <c r="BB4933" s="340"/>
      <c r="BD4933" s="339"/>
    </row>
    <row r="4934" spans="7:56" s="338" customFormat="1">
      <c r="G4934" s="340"/>
      <c r="L4934" s="340"/>
      <c r="P4934" s="340"/>
      <c r="U4934" s="340"/>
      <c r="V4934" s="340"/>
      <c r="Z4934" s="340"/>
      <c r="AE4934" s="340"/>
      <c r="AI4934" s="340"/>
      <c r="AN4934" s="340"/>
      <c r="AO4934" s="340"/>
      <c r="AS4934" s="340"/>
      <c r="AX4934" s="340"/>
      <c r="BB4934" s="340"/>
      <c r="BD4934" s="339"/>
    </row>
    <row r="4935" spans="7:56" s="338" customFormat="1">
      <c r="G4935" s="340"/>
      <c r="L4935" s="340"/>
      <c r="P4935" s="340"/>
      <c r="U4935" s="340"/>
      <c r="V4935" s="340"/>
      <c r="Z4935" s="340"/>
      <c r="AE4935" s="340"/>
      <c r="AI4935" s="340"/>
      <c r="AN4935" s="340"/>
      <c r="AO4935" s="340"/>
      <c r="AS4935" s="340"/>
      <c r="AX4935" s="340"/>
      <c r="BB4935" s="340"/>
      <c r="BD4935" s="339"/>
    </row>
    <row r="4936" spans="7:56" s="338" customFormat="1">
      <c r="G4936" s="340"/>
      <c r="L4936" s="340"/>
      <c r="P4936" s="340"/>
      <c r="U4936" s="340"/>
      <c r="V4936" s="340"/>
      <c r="Z4936" s="340"/>
      <c r="AE4936" s="340"/>
      <c r="AI4936" s="340"/>
      <c r="AN4936" s="340"/>
      <c r="AO4936" s="340"/>
      <c r="AS4936" s="340"/>
      <c r="AX4936" s="340"/>
      <c r="BB4936" s="340"/>
      <c r="BD4936" s="339"/>
    </row>
    <row r="4937" spans="7:56" s="338" customFormat="1">
      <c r="G4937" s="340"/>
      <c r="L4937" s="340"/>
      <c r="P4937" s="340"/>
      <c r="U4937" s="340"/>
      <c r="V4937" s="340"/>
      <c r="Z4937" s="340"/>
      <c r="AE4937" s="340"/>
      <c r="AI4937" s="340"/>
      <c r="AN4937" s="340"/>
      <c r="AO4937" s="340"/>
      <c r="AS4937" s="340"/>
      <c r="AX4937" s="340"/>
      <c r="BB4937" s="340"/>
      <c r="BD4937" s="339"/>
    </row>
    <row r="4938" spans="7:56" s="338" customFormat="1">
      <c r="G4938" s="340"/>
      <c r="L4938" s="340"/>
      <c r="P4938" s="340"/>
      <c r="U4938" s="340"/>
      <c r="V4938" s="340"/>
      <c r="Z4938" s="340"/>
      <c r="AE4938" s="340"/>
      <c r="AI4938" s="340"/>
      <c r="AN4938" s="340"/>
      <c r="AO4938" s="340"/>
      <c r="AS4938" s="340"/>
      <c r="AX4938" s="340"/>
      <c r="BB4938" s="340"/>
      <c r="BD4938" s="339"/>
    </row>
    <row r="4939" spans="7:56" s="338" customFormat="1">
      <c r="G4939" s="340"/>
      <c r="L4939" s="340"/>
      <c r="P4939" s="340"/>
      <c r="U4939" s="340"/>
      <c r="V4939" s="340"/>
      <c r="Z4939" s="340"/>
      <c r="AE4939" s="340"/>
      <c r="AI4939" s="340"/>
      <c r="AN4939" s="340"/>
      <c r="AO4939" s="340"/>
      <c r="AS4939" s="340"/>
      <c r="AX4939" s="340"/>
      <c r="BB4939" s="340"/>
      <c r="BD4939" s="339"/>
    </row>
    <row r="4940" spans="7:56" s="338" customFormat="1">
      <c r="G4940" s="340"/>
      <c r="L4940" s="340"/>
      <c r="P4940" s="340"/>
      <c r="U4940" s="340"/>
      <c r="V4940" s="340"/>
      <c r="Z4940" s="340"/>
      <c r="AE4940" s="340"/>
      <c r="AI4940" s="340"/>
      <c r="AN4940" s="340"/>
      <c r="AO4940" s="340"/>
      <c r="AS4940" s="340"/>
      <c r="AX4940" s="340"/>
      <c r="BB4940" s="340"/>
      <c r="BD4940" s="339"/>
    </row>
    <row r="4941" spans="7:56" s="338" customFormat="1">
      <c r="G4941" s="340"/>
      <c r="L4941" s="340"/>
      <c r="P4941" s="340"/>
      <c r="U4941" s="340"/>
      <c r="V4941" s="340"/>
      <c r="Z4941" s="340"/>
      <c r="AE4941" s="340"/>
      <c r="AI4941" s="340"/>
      <c r="AN4941" s="340"/>
      <c r="AO4941" s="340"/>
      <c r="AS4941" s="340"/>
      <c r="AX4941" s="340"/>
      <c r="BB4941" s="340"/>
      <c r="BD4941" s="339"/>
    </row>
    <row r="4942" spans="7:56" s="338" customFormat="1">
      <c r="G4942" s="340"/>
      <c r="L4942" s="340"/>
      <c r="P4942" s="340"/>
      <c r="U4942" s="340"/>
      <c r="V4942" s="340"/>
      <c r="Z4942" s="340"/>
      <c r="AE4942" s="340"/>
      <c r="AI4942" s="340"/>
      <c r="AN4942" s="340"/>
      <c r="AO4942" s="340"/>
      <c r="AS4942" s="340"/>
      <c r="AX4942" s="340"/>
      <c r="BB4942" s="340"/>
      <c r="BD4942" s="339"/>
    </row>
    <row r="4943" spans="7:56" s="338" customFormat="1">
      <c r="G4943" s="340"/>
      <c r="L4943" s="340"/>
      <c r="P4943" s="340"/>
      <c r="U4943" s="340"/>
      <c r="V4943" s="340"/>
      <c r="Z4943" s="340"/>
      <c r="AE4943" s="340"/>
      <c r="AI4943" s="340"/>
      <c r="AN4943" s="340"/>
      <c r="AO4943" s="340"/>
      <c r="AS4943" s="340"/>
      <c r="AX4943" s="340"/>
      <c r="BB4943" s="340"/>
      <c r="BD4943" s="339"/>
    </row>
    <row r="4944" spans="7:56" s="338" customFormat="1">
      <c r="G4944" s="340"/>
      <c r="L4944" s="340"/>
      <c r="P4944" s="340"/>
      <c r="U4944" s="340"/>
      <c r="V4944" s="340"/>
      <c r="Z4944" s="340"/>
      <c r="AE4944" s="340"/>
      <c r="AI4944" s="340"/>
      <c r="AN4944" s="340"/>
      <c r="AO4944" s="340"/>
      <c r="AS4944" s="340"/>
      <c r="AX4944" s="340"/>
      <c r="BB4944" s="340"/>
      <c r="BD4944" s="339"/>
    </row>
    <row r="4945" spans="7:56" s="338" customFormat="1">
      <c r="G4945" s="340"/>
      <c r="L4945" s="340"/>
      <c r="P4945" s="340"/>
      <c r="U4945" s="340"/>
      <c r="V4945" s="340"/>
      <c r="Z4945" s="340"/>
      <c r="AE4945" s="340"/>
      <c r="AI4945" s="340"/>
      <c r="AN4945" s="340"/>
      <c r="AO4945" s="340"/>
      <c r="AS4945" s="340"/>
      <c r="AX4945" s="340"/>
      <c r="BB4945" s="340"/>
      <c r="BD4945" s="339"/>
    </row>
    <row r="4946" spans="7:56" s="338" customFormat="1">
      <c r="G4946" s="340"/>
      <c r="L4946" s="340"/>
      <c r="P4946" s="340"/>
      <c r="U4946" s="340"/>
      <c r="V4946" s="340"/>
      <c r="Z4946" s="340"/>
      <c r="AE4946" s="340"/>
      <c r="AI4946" s="340"/>
      <c r="AN4946" s="340"/>
      <c r="AO4946" s="340"/>
      <c r="AS4946" s="340"/>
      <c r="AX4946" s="340"/>
      <c r="BB4946" s="340"/>
      <c r="BD4946" s="339"/>
    </row>
    <row r="4947" spans="7:56" s="338" customFormat="1">
      <c r="G4947" s="340"/>
      <c r="L4947" s="340"/>
      <c r="P4947" s="340"/>
      <c r="U4947" s="340"/>
      <c r="V4947" s="340"/>
      <c r="Z4947" s="340"/>
      <c r="AE4947" s="340"/>
      <c r="AI4947" s="340"/>
      <c r="AN4947" s="340"/>
      <c r="AO4947" s="340"/>
      <c r="AS4947" s="340"/>
      <c r="AX4947" s="340"/>
      <c r="BB4947" s="340"/>
      <c r="BD4947" s="339"/>
    </row>
    <row r="4948" spans="7:56" s="338" customFormat="1">
      <c r="G4948" s="340"/>
      <c r="L4948" s="340"/>
      <c r="P4948" s="340"/>
      <c r="U4948" s="340"/>
      <c r="V4948" s="340"/>
      <c r="Z4948" s="340"/>
      <c r="AE4948" s="340"/>
      <c r="AI4948" s="340"/>
      <c r="AN4948" s="340"/>
      <c r="AO4948" s="340"/>
      <c r="AS4948" s="340"/>
      <c r="AX4948" s="340"/>
      <c r="BB4948" s="340"/>
      <c r="BD4948" s="339"/>
    </row>
    <row r="4949" spans="7:56" s="338" customFormat="1">
      <c r="G4949" s="340"/>
      <c r="L4949" s="340"/>
      <c r="P4949" s="340"/>
      <c r="U4949" s="340"/>
      <c r="V4949" s="340"/>
      <c r="Z4949" s="340"/>
      <c r="AE4949" s="340"/>
      <c r="AI4949" s="340"/>
      <c r="AN4949" s="340"/>
      <c r="AO4949" s="340"/>
      <c r="AS4949" s="340"/>
      <c r="AX4949" s="340"/>
      <c r="BB4949" s="340"/>
      <c r="BD4949" s="339"/>
    </row>
    <row r="4950" spans="7:56" s="338" customFormat="1">
      <c r="G4950" s="340"/>
      <c r="L4950" s="340"/>
      <c r="P4950" s="340"/>
      <c r="U4950" s="340"/>
      <c r="V4950" s="340"/>
      <c r="Z4950" s="340"/>
      <c r="AE4950" s="340"/>
      <c r="AI4950" s="340"/>
      <c r="AN4950" s="340"/>
      <c r="AO4950" s="340"/>
      <c r="AS4950" s="340"/>
      <c r="AX4950" s="340"/>
      <c r="BB4950" s="340"/>
      <c r="BD4950" s="339"/>
    </row>
    <row r="4951" spans="7:56" s="338" customFormat="1">
      <c r="G4951" s="340"/>
      <c r="L4951" s="340"/>
      <c r="P4951" s="340"/>
      <c r="U4951" s="340"/>
      <c r="V4951" s="340"/>
      <c r="Z4951" s="340"/>
      <c r="AE4951" s="340"/>
      <c r="AI4951" s="340"/>
      <c r="AN4951" s="340"/>
      <c r="AO4951" s="340"/>
      <c r="AS4951" s="340"/>
      <c r="AX4951" s="340"/>
      <c r="BB4951" s="340"/>
      <c r="BD4951" s="339"/>
    </row>
    <row r="4952" spans="7:56" s="338" customFormat="1">
      <c r="G4952" s="340"/>
      <c r="L4952" s="340"/>
      <c r="P4952" s="340"/>
      <c r="U4952" s="340"/>
      <c r="V4952" s="340"/>
      <c r="Z4952" s="340"/>
      <c r="AE4952" s="340"/>
      <c r="AI4952" s="340"/>
      <c r="AN4952" s="340"/>
      <c r="AO4952" s="340"/>
      <c r="AS4952" s="340"/>
      <c r="AX4952" s="340"/>
      <c r="BB4952" s="340"/>
      <c r="BD4952" s="339"/>
    </row>
    <row r="4953" spans="7:56" s="338" customFormat="1">
      <c r="G4953" s="340"/>
      <c r="L4953" s="340"/>
      <c r="P4953" s="340"/>
      <c r="U4953" s="340"/>
      <c r="V4953" s="340"/>
      <c r="Z4953" s="340"/>
      <c r="AE4953" s="340"/>
      <c r="AI4953" s="340"/>
      <c r="AN4953" s="340"/>
      <c r="AO4953" s="340"/>
      <c r="AS4953" s="340"/>
      <c r="AX4953" s="340"/>
      <c r="BB4953" s="340"/>
      <c r="BD4953" s="339"/>
    </row>
    <row r="4954" spans="7:56" s="338" customFormat="1">
      <c r="G4954" s="340"/>
      <c r="L4954" s="340"/>
      <c r="P4954" s="340"/>
      <c r="U4954" s="340"/>
      <c r="V4954" s="340"/>
      <c r="Z4954" s="340"/>
      <c r="AE4954" s="340"/>
      <c r="AI4954" s="340"/>
      <c r="AN4954" s="340"/>
      <c r="AO4954" s="340"/>
      <c r="AS4954" s="340"/>
      <c r="AX4954" s="340"/>
      <c r="BB4954" s="340"/>
      <c r="BD4954" s="339"/>
    </row>
    <row r="4955" spans="7:56" s="338" customFormat="1">
      <c r="G4955" s="340"/>
      <c r="L4955" s="340"/>
      <c r="P4955" s="340"/>
      <c r="U4955" s="340"/>
      <c r="V4955" s="340"/>
      <c r="Z4955" s="340"/>
      <c r="AE4955" s="340"/>
      <c r="AI4955" s="340"/>
      <c r="AN4955" s="340"/>
      <c r="AO4955" s="340"/>
      <c r="AS4955" s="340"/>
      <c r="AX4955" s="340"/>
      <c r="BB4955" s="340"/>
      <c r="BD4955" s="339"/>
    </row>
    <row r="4956" spans="7:56" s="338" customFormat="1">
      <c r="G4956" s="340"/>
      <c r="L4956" s="340"/>
      <c r="P4956" s="340"/>
      <c r="U4956" s="340"/>
      <c r="V4956" s="340"/>
      <c r="Z4956" s="340"/>
      <c r="AE4956" s="340"/>
      <c r="AI4956" s="340"/>
      <c r="AN4956" s="340"/>
      <c r="AO4956" s="340"/>
      <c r="AS4956" s="340"/>
      <c r="AX4956" s="340"/>
      <c r="BB4956" s="340"/>
      <c r="BD4956" s="339"/>
    </row>
    <row r="4957" spans="7:56" s="338" customFormat="1">
      <c r="G4957" s="340"/>
      <c r="L4957" s="340"/>
      <c r="P4957" s="340"/>
      <c r="U4957" s="340"/>
      <c r="V4957" s="340"/>
      <c r="Z4957" s="340"/>
      <c r="AE4957" s="340"/>
      <c r="AI4957" s="340"/>
      <c r="AN4957" s="340"/>
      <c r="AO4957" s="340"/>
      <c r="AS4957" s="340"/>
      <c r="AX4957" s="340"/>
      <c r="BB4957" s="340"/>
      <c r="BD4957" s="339"/>
    </row>
    <row r="4958" spans="7:56" s="338" customFormat="1">
      <c r="G4958" s="340"/>
      <c r="L4958" s="340"/>
      <c r="P4958" s="340"/>
      <c r="U4958" s="340"/>
      <c r="V4958" s="340"/>
      <c r="Z4958" s="340"/>
      <c r="AE4958" s="340"/>
      <c r="AI4958" s="340"/>
      <c r="AN4958" s="340"/>
      <c r="AO4958" s="340"/>
      <c r="AS4958" s="340"/>
      <c r="AX4958" s="340"/>
      <c r="BB4958" s="340"/>
      <c r="BD4958" s="339"/>
    </row>
    <row r="4959" spans="7:56" s="338" customFormat="1">
      <c r="G4959" s="340"/>
      <c r="L4959" s="340"/>
      <c r="P4959" s="340"/>
      <c r="U4959" s="340"/>
      <c r="V4959" s="340"/>
      <c r="Z4959" s="340"/>
      <c r="AE4959" s="340"/>
      <c r="AI4959" s="340"/>
      <c r="AN4959" s="340"/>
      <c r="AO4959" s="340"/>
      <c r="AS4959" s="340"/>
      <c r="AX4959" s="340"/>
      <c r="BB4959" s="340"/>
      <c r="BD4959" s="339"/>
    </row>
    <row r="4960" spans="7:56" s="338" customFormat="1">
      <c r="G4960" s="340"/>
      <c r="L4960" s="340"/>
      <c r="P4960" s="340"/>
      <c r="U4960" s="340"/>
      <c r="V4960" s="340"/>
      <c r="Z4960" s="340"/>
      <c r="AE4960" s="340"/>
      <c r="AI4960" s="340"/>
      <c r="AN4960" s="340"/>
      <c r="AO4960" s="340"/>
      <c r="AS4960" s="340"/>
      <c r="AX4960" s="340"/>
      <c r="BB4960" s="340"/>
      <c r="BD4960" s="339"/>
    </row>
    <row r="4961" spans="7:56" s="338" customFormat="1">
      <c r="G4961" s="340"/>
      <c r="L4961" s="340"/>
      <c r="P4961" s="340"/>
      <c r="U4961" s="340"/>
      <c r="V4961" s="340"/>
      <c r="Z4961" s="340"/>
      <c r="AE4961" s="340"/>
      <c r="AI4961" s="340"/>
      <c r="AN4961" s="340"/>
      <c r="AO4961" s="340"/>
      <c r="AS4961" s="340"/>
      <c r="AX4961" s="340"/>
      <c r="BB4961" s="340"/>
      <c r="BD4961" s="339"/>
    </row>
    <row r="4962" spans="7:56" s="338" customFormat="1">
      <c r="G4962" s="340"/>
      <c r="L4962" s="340"/>
      <c r="P4962" s="340"/>
      <c r="U4962" s="340"/>
      <c r="V4962" s="340"/>
      <c r="Z4962" s="340"/>
      <c r="AE4962" s="340"/>
      <c r="AI4962" s="340"/>
      <c r="AN4962" s="340"/>
      <c r="AO4962" s="340"/>
      <c r="AS4962" s="340"/>
      <c r="AX4962" s="340"/>
      <c r="BB4962" s="340"/>
      <c r="BD4962" s="339"/>
    </row>
    <row r="4963" spans="7:56" s="338" customFormat="1">
      <c r="G4963" s="340"/>
      <c r="L4963" s="340"/>
      <c r="P4963" s="340"/>
      <c r="U4963" s="340"/>
      <c r="V4963" s="340"/>
      <c r="Z4963" s="340"/>
      <c r="AE4963" s="340"/>
      <c r="AI4963" s="340"/>
      <c r="AN4963" s="340"/>
      <c r="AO4963" s="340"/>
      <c r="AS4963" s="340"/>
      <c r="AX4963" s="340"/>
      <c r="BB4963" s="340"/>
      <c r="BD4963" s="339"/>
    </row>
    <row r="4964" spans="7:56" s="338" customFormat="1">
      <c r="G4964" s="340"/>
      <c r="L4964" s="340"/>
      <c r="P4964" s="340"/>
      <c r="U4964" s="340"/>
      <c r="V4964" s="340"/>
      <c r="Z4964" s="340"/>
      <c r="AE4964" s="340"/>
      <c r="AI4964" s="340"/>
      <c r="AN4964" s="340"/>
      <c r="AO4964" s="340"/>
      <c r="AS4964" s="340"/>
      <c r="AX4964" s="340"/>
      <c r="BB4964" s="340"/>
      <c r="BD4964" s="339"/>
    </row>
    <row r="4965" spans="7:56" s="338" customFormat="1">
      <c r="G4965" s="340"/>
      <c r="L4965" s="340"/>
      <c r="P4965" s="340"/>
      <c r="U4965" s="340"/>
      <c r="V4965" s="340"/>
      <c r="Z4965" s="340"/>
      <c r="AE4965" s="340"/>
      <c r="AI4965" s="340"/>
      <c r="AN4965" s="340"/>
      <c r="AO4965" s="340"/>
      <c r="AS4965" s="340"/>
      <c r="AX4965" s="340"/>
      <c r="BB4965" s="340"/>
      <c r="BD4965" s="339"/>
    </row>
    <row r="4966" spans="7:56" s="338" customFormat="1">
      <c r="G4966" s="340"/>
      <c r="L4966" s="340"/>
      <c r="P4966" s="340"/>
      <c r="U4966" s="340"/>
      <c r="V4966" s="340"/>
      <c r="Z4966" s="340"/>
      <c r="AE4966" s="340"/>
      <c r="AI4966" s="340"/>
      <c r="AN4966" s="340"/>
      <c r="AO4966" s="340"/>
      <c r="AS4966" s="340"/>
      <c r="AX4966" s="340"/>
      <c r="BB4966" s="340"/>
      <c r="BD4966" s="339"/>
    </row>
    <row r="4967" spans="7:56" s="338" customFormat="1">
      <c r="G4967" s="340"/>
      <c r="L4967" s="340"/>
      <c r="P4967" s="340"/>
      <c r="U4967" s="340"/>
      <c r="V4967" s="340"/>
      <c r="Z4967" s="340"/>
      <c r="AE4967" s="340"/>
      <c r="AI4967" s="340"/>
      <c r="AN4967" s="340"/>
      <c r="AO4967" s="340"/>
      <c r="AS4967" s="340"/>
      <c r="AX4967" s="340"/>
      <c r="BB4967" s="340"/>
      <c r="BD4967" s="339"/>
    </row>
    <row r="4968" spans="7:56" s="338" customFormat="1">
      <c r="G4968" s="340"/>
      <c r="L4968" s="340"/>
      <c r="P4968" s="340"/>
      <c r="U4968" s="340"/>
      <c r="V4968" s="340"/>
      <c r="Z4968" s="340"/>
      <c r="AE4968" s="340"/>
      <c r="AI4968" s="340"/>
      <c r="AN4968" s="340"/>
      <c r="AO4968" s="340"/>
      <c r="AS4968" s="340"/>
      <c r="AX4968" s="340"/>
      <c r="BB4968" s="340"/>
      <c r="BD4968" s="339"/>
    </row>
    <row r="4969" spans="7:56" s="338" customFormat="1">
      <c r="G4969" s="340"/>
      <c r="L4969" s="340"/>
      <c r="P4969" s="340"/>
      <c r="U4969" s="340"/>
      <c r="V4969" s="340"/>
      <c r="Z4969" s="340"/>
      <c r="AE4969" s="340"/>
      <c r="AI4969" s="340"/>
      <c r="AN4969" s="340"/>
      <c r="AO4969" s="340"/>
      <c r="AS4969" s="340"/>
      <c r="AX4969" s="340"/>
      <c r="BB4969" s="340"/>
      <c r="BD4969" s="339"/>
    </row>
    <row r="4970" spans="7:56" s="338" customFormat="1">
      <c r="G4970" s="340"/>
      <c r="L4970" s="340"/>
      <c r="P4970" s="340"/>
      <c r="U4970" s="340"/>
      <c r="V4970" s="340"/>
      <c r="Z4970" s="340"/>
      <c r="AE4970" s="340"/>
      <c r="AI4970" s="340"/>
      <c r="AN4970" s="340"/>
      <c r="AO4970" s="340"/>
      <c r="AS4970" s="340"/>
      <c r="AX4970" s="340"/>
      <c r="BB4970" s="340"/>
      <c r="BD4970" s="339"/>
    </row>
    <row r="4971" spans="7:56" s="338" customFormat="1">
      <c r="G4971" s="340"/>
      <c r="L4971" s="340"/>
      <c r="P4971" s="340"/>
      <c r="U4971" s="340"/>
      <c r="V4971" s="340"/>
      <c r="Z4971" s="340"/>
      <c r="AE4971" s="340"/>
      <c r="AI4971" s="340"/>
      <c r="AN4971" s="340"/>
      <c r="AO4971" s="340"/>
      <c r="AS4971" s="340"/>
      <c r="AX4971" s="340"/>
      <c r="BB4971" s="340"/>
      <c r="BD4971" s="339"/>
    </row>
    <row r="4972" spans="7:56" s="338" customFormat="1">
      <c r="G4972" s="340"/>
      <c r="L4972" s="340"/>
      <c r="P4972" s="340"/>
      <c r="U4972" s="340"/>
      <c r="V4972" s="340"/>
      <c r="Z4972" s="340"/>
      <c r="AE4972" s="340"/>
      <c r="AI4972" s="340"/>
      <c r="AN4972" s="340"/>
      <c r="AO4972" s="340"/>
      <c r="AS4972" s="340"/>
      <c r="AX4972" s="340"/>
      <c r="BB4972" s="340"/>
      <c r="BD4972" s="339"/>
    </row>
    <row r="4973" spans="7:56" s="338" customFormat="1">
      <c r="G4973" s="340"/>
      <c r="L4973" s="340"/>
      <c r="P4973" s="340"/>
      <c r="U4973" s="340"/>
      <c r="V4973" s="340"/>
      <c r="Z4973" s="340"/>
      <c r="AE4973" s="340"/>
      <c r="AI4973" s="340"/>
      <c r="AN4973" s="340"/>
      <c r="AO4973" s="340"/>
      <c r="AS4973" s="340"/>
      <c r="AX4973" s="340"/>
      <c r="BB4973" s="340"/>
      <c r="BD4973" s="339"/>
    </row>
    <row r="4974" spans="7:56" s="338" customFormat="1">
      <c r="G4974" s="340"/>
      <c r="L4974" s="340"/>
      <c r="P4974" s="340"/>
      <c r="U4974" s="340"/>
      <c r="V4974" s="340"/>
      <c r="Z4974" s="340"/>
      <c r="AE4974" s="340"/>
      <c r="AI4974" s="340"/>
      <c r="AN4974" s="340"/>
      <c r="AO4974" s="340"/>
      <c r="AS4974" s="340"/>
      <c r="AX4974" s="340"/>
      <c r="BB4974" s="340"/>
      <c r="BD4974" s="339"/>
    </row>
    <row r="4975" spans="7:56" s="338" customFormat="1">
      <c r="G4975" s="340"/>
      <c r="L4975" s="340"/>
      <c r="P4975" s="340"/>
      <c r="U4975" s="340"/>
      <c r="V4975" s="340"/>
      <c r="Z4975" s="340"/>
      <c r="AE4975" s="340"/>
      <c r="AI4975" s="340"/>
      <c r="AN4975" s="340"/>
      <c r="AO4975" s="340"/>
      <c r="AS4975" s="340"/>
      <c r="AX4975" s="340"/>
      <c r="BB4975" s="340"/>
      <c r="BD4975" s="339"/>
    </row>
    <row r="4976" spans="7:56" s="338" customFormat="1">
      <c r="G4976" s="340"/>
      <c r="L4976" s="340"/>
      <c r="P4976" s="340"/>
      <c r="U4976" s="340"/>
      <c r="V4976" s="340"/>
      <c r="Z4976" s="340"/>
      <c r="AE4976" s="340"/>
      <c r="AI4976" s="340"/>
      <c r="AN4976" s="340"/>
      <c r="AO4976" s="340"/>
      <c r="AS4976" s="340"/>
      <c r="AX4976" s="340"/>
      <c r="BB4976" s="340"/>
      <c r="BD4976" s="339"/>
    </row>
    <row r="4977" spans="7:56" s="338" customFormat="1">
      <c r="G4977" s="340"/>
      <c r="L4977" s="340"/>
      <c r="P4977" s="340"/>
      <c r="U4977" s="340"/>
      <c r="V4977" s="340"/>
      <c r="Z4977" s="340"/>
      <c r="AE4977" s="340"/>
      <c r="AI4977" s="340"/>
      <c r="AN4977" s="340"/>
      <c r="AO4977" s="340"/>
      <c r="AS4977" s="340"/>
      <c r="AX4977" s="340"/>
      <c r="BB4977" s="340"/>
      <c r="BD4977" s="339"/>
    </row>
    <row r="4978" spans="7:56" s="338" customFormat="1">
      <c r="G4978" s="340"/>
      <c r="L4978" s="340"/>
      <c r="P4978" s="340"/>
      <c r="U4978" s="340"/>
      <c r="V4978" s="340"/>
      <c r="Z4978" s="340"/>
      <c r="AE4978" s="340"/>
      <c r="AI4978" s="340"/>
      <c r="AN4978" s="340"/>
      <c r="AO4978" s="340"/>
      <c r="AS4978" s="340"/>
      <c r="AX4978" s="340"/>
      <c r="BB4978" s="340"/>
      <c r="BD4978" s="339"/>
    </row>
    <row r="4979" spans="7:56" s="338" customFormat="1">
      <c r="G4979" s="340"/>
      <c r="L4979" s="340"/>
      <c r="P4979" s="340"/>
      <c r="U4979" s="340"/>
      <c r="V4979" s="340"/>
      <c r="Z4979" s="340"/>
      <c r="AE4979" s="340"/>
      <c r="AI4979" s="340"/>
      <c r="AN4979" s="340"/>
      <c r="AO4979" s="340"/>
      <c r="AS4979" s="340"/>
      <c r="AX4979" s="340"/>
      <c r="BB4979" s="340"/>
      <c r="BD4979" s="339"/>
    </row>
    <row r="4980" spans="7:56" s="338" customFormat="1">
      <c r="G4980" s="340"/>
      <c r="L4980" s="340"/>
      <c r="P4980" s="340"/>
      <c r="U4980" s="340"/>
      <c r="V4980" s="340"/>
      <c r="Z4980" s="340"/>
      <c r="AE4980" s="340"/>
      <c r="AI4980" s="340"/>
      <c r="AN4980" s="340"/>
      <c r="AO4980" s="340"/>
      <c r="AS4980" s="340"/>
      <c r="AX4980" s="340"/>
      <c r="BB4980" s="340"/>
      <c r="BD4980" s="339"/>
    </row>
    <row r="4981" spans="7:56" s="338" customFormat="1">
      <c r="G4981" s="340"/>
      <c r="L4981" s="340"/>
      <c r="P4981" s="340"/>
      <c r="U4981" s="340"/>
      <c r="V4981" s="340"/>
      <c r="Z4981" s="340"/>
      <c r="AE4981" s="340"/>
      <c r="AI4981" s="340"/>
      <c r="AN4981" s="340"/>
      <c r="AO4981" s="340"/>
      <c r="AS4981" s="340"/>
      <c r="AX4981" s="340"/>
      <c r="BB4981" s="340"/>
      <c r="BD4981" s="339"/>
    </row>
    <row r="4982" spans="7:56" s="338" customFormat="1">
      <c r="G4982" s="340"/>
      <c r="L4982" s="340"/>
      <c r="P4982" s="340"/>
      <c r="U4982" s="340"/>
      <c r="V4982" s="340"/>
      <c r="Z4982" s="340"/>
      <c r="AE4982" s="340"/>
      <c r="AI4982" s="340"/>
      <c r="AN4982" s="340"/>
      <c r="AO4982" s="340"/>
      <c r="AS4982" s="340"/>
      <c r="AX4982" s="340"/>
      <c r="BB4982" s="340"/>
      <c r="BD4982" s="339"/>
    </row>
    <row r="4983" spans="7:56" s="338" customFormat="1">
      <c r="G4983" s="340"/>
      <c r="L4983" s="340"/>
      <c r="P4983" s="340"/>
      <c r="U4983" s="340"/>
      <c r="V4983" s="340"/>
      <c r="Z4983" s="340"/>
      <c r="AE4983" s="340"/>
      <c r="AI4983" s="340"/>
      <c r="AN4983" s="340"/>
      <c r="AO4983" s="340"/>
      <c r="AS4983" s="340"/>
      <c r="AX4983" s="340"/>
      <c r="BB4983" s="340"/>
      <c r="BD4983" s="339"/>
    </row>
    <row r="4984" spans="7:56" s="338" customFormat="1">
      <c r="G4984" s="340"/>
      <c r="L4984" s="340"/>
      <c r="P4984" s="340"/>
      <c r="U4984" s="340"/>
      <c r="V4984" s="340"/>
      <c r="Z4984" s="340"/>
      <c r="AE4984" s="340"/>
      <c r="AI4984" s="340"/>
      <c r="AN4984" s="340"/>
      <c r="AO4984" s="340"/>
      <c r="AS4984" s="340"/>
      <c r="AX4984" s="340"/>
      <c r="BB4984" s="340"/>
      <c r="BD4984" s="339"/>
    </row>
    <row r="4985" spans="7:56" s="338" customFormat="1">
      <c r="G4985" s="340"/>
      <c r="L4985" s="340"/>
      <c r="P4985" s="340"/>
      <c r="U4985" s="340"/>
      <c r="V4985" s="340"/>
      <c r="Z4985" s="340"/>
      <c r="AE4985" s="340"/>
      <c r="AI4985" s="340"/>
      <c r="AN4985" s="340"/>
      <c r="AO4985" s="340"/>
      <c r="AS4985" s="340"/>
      <c r="AX4985" s="340"/>
      <c r="BB4985" s="340"/>
      <c r="BD4985" s="339"/>
    </row>
    <row r="4986" spans="7:56" s="338" customFormat="1">
      <c r="G4986" s="340"/>
      <c r="L4986" s="340"/>
      <c r="P4986" s="340"/>
      <c r="U4986" s="340"/>
      <c r="V4986" s="340"/>
      <c r="Z4986" s="340"/>
      <c r="AE4986" s="340"/>
      <c r="AI4986" s="340"/>
      <c r="AN4986" s="340"/>
      <c r="AO4986" s="340"/>
      <c r="AS4986" s="340"/>
      <c r="AX4986" s="340"/>
      <c r="BB4986" s="340"/>
      <c r="BD4986" s="339"/>
    </row>
    <row r="4987" spans="7:56" s="338" customFormat="1">
      <c r="G4987" s="340"/>
      <c r="L4987" s="340"/>
      <c r="P4987" s="340"/>
      <c r="U4987" s="340"/>
      <c r="V4987" s="340"/>
      <c r="Z4987" s="340"/>
      <c r="AE4987" s="340"/>
      <c r="AI4987" s="340"/>
      <c r="AN4987" s="340"/>
      <c r="AO4987" s="340"/>
      <c r="AS4987" s="340"/>
      <c r="AX4987" s="340"/>
      <c r="BB4987" s="340"/>
      <c r="BD4987" s="339"/>
    </row>
    <row r="4988" spans="7:56" s="338" customFormat="1">
      <c r="G4988" s="340"/>
      <c r="L4988" s="340"/>
      <c r="P4988" s="340"/>
      <c r="U4988" s="340"/>
      <c r="V4988" s="340"/>
      <c r="Z4988" s="340"/>
      <c r="AE4988" s="340"/>
      <c r="AI4988" s="340"/>
      <c r="AN4988" s="340"/>
      <c r="AO4988" s="340"/>
      <c r="AS4988" s="340"/>
      <c r="AX4988" s="340"/>
      <c r="BB4988" s="340"/>
      <c r="BD4988" s="339"/>
    </row>
    <row r="4989" spans="7:56" s="338" customFormat="1">
      <c r="G4989" s="340"/>
      <c r="L4989" s="340"/>
      <c r="P4989" s="340"/>
      <c r="U4989" s="340"/>
      <c r="V4989" s="340"/>
      <c r="Z4989" s="340"/>
      <c r="AE4989" s="340"/>
      <c r="AI4989" s="340"/>
      <c r="AN4989" s="340"/>
      <c r="AO4989" s="340"/>
      <c r="AS4989" s="340"/>
      <c r="AX4989" s="340"/>
      <c r="BB4989" s="340"/>
      <c r="BD4989" s="339"/>
    </row>
    <row r="4990" spans="7:56" s="338" customFormat="1">
      <c r="G4990" s="340"/>
      <c r="L4990" s="340"/>
      <c r="P4990" s="340"/>
      <c r="U4990" s="340"/>
      <c r="V4990" s="340"/>
      <c r="Z4990" s="340"/>
      <c r="AE4990" s="340"/>
      <c r="AI4990" s="340"/>
      <c r="AN4990" s="340"/>
      <c r="AO4990" s="340"/>
      <c r="AS4990" s="340"/>
      <c r="AX4990" s="340"/>
      <c r="BB4990" s="340"/>
      <c r="BD4990" s="339"/>
    </row>
    <row r="4991" spans="7:56" s="338" customFormat="1">
      <c r="G4991" s="340"/>
      <c r="L4991" s="340"/>
      <c r="P4991" s="340"/>
      <c r="U4991" s="340"/>
      <c r="V4991" s="340"/>
      <c r="Z4991" s="340"/>
      <c r="AE4991" s="340"/>
      <c r="AI4991" s="340"/>
      <c r="AN4991" s="340"/>
      <c r="AO4991" s="340"/>
      <c r="AS4991" s="340"/>
      <c r="AX4991" s="340"/>
      <c r="BB4991" s="340"/>
      <c r="BD4991" s="339"/>
    </row>
    <row r="4992" spans="7:56" s="338" customFormat="1">
      <c r="G4992" s="340"/>
      <c r="L4992" s="340"/>
      <c r="P4992" s="340"/>
      <c r="U4992" s="340"/>
      <c r="V4992" s="340"/>
      <c r="Z4992" s="340"/>
      <c r="AE4992" s="340"/>
      <c r="AI4992" s="340"/>
      <c r="AN4992" s="340"/>
      <c r="AO4992" s="340"/>
      <c r="AS4992" s="340"/>
      <c r="AX4992" s="340"/>
      <c r="BB4992" s="340"/>
      <c r="BD4992" s="339"/>
    </row>
    <row r="4993" spans="7:56" s="338" customFormat="1">
      <c r="G4993" s="340"/>
      <c r="L4993" s="340"/>
      <c r="P4993" s="340"/>
      <c r="U4993" s="340"/>
      <c r="V4993" s="340"/>
      <c r="Z4993" s="340"/>
      <c r="AE4993" s="340"/>
      <c r="AI4993" s="340"/>
      <c r="AN4993" s="340"/>
      <c r="AO4993" s="340"/>
      <c r="AS4993" s="340"/>
      <c r="AX4993" s="340"/>
      <c r="BB4993" s="340"/>
      <c r="BD4993" s="339"/>
    </row>
    <row r="4994" spans="7:56" s="338" customFormat="1">
      <c r="G4994" s="340"/>
      <c r="L4994" s="340"/>
      <c r="P4994" s="340"/>
      <c r="U4994" s="340"/>
      <c r="V4994" s="340"/>
      <c r="Z4994" s="340"/>
      <c r="AE4994" s="340"/>
      <c r="AI4994" s="340"/>
      <c r="AN4994" s="340"/>
      <c r="AO4994" s="340"/>
      <c r="AS4994" s="340"/>
      <c r="AX4994" s="340"/>
      <c r="BB4994" s="340"/>
      <c r="BD4994" s="339"/>
    </row>
    <row r="4995" spans="7:56" s="338" customFormat="1">
      <c r="G4995" s="340"/>
      <c r="L4995" s="340"/>
      <c r="P4995" s="340"/>
      <c r="U4995" s="340"/>
      <c r="V4995" s="340"/>
      <c r="Z4995" s="340"/>
      <c r="AE4995" s="340"/>
      <c r="AI4995" s="340"/>
      <c r="AN4995" s="340"/>
      <c r="AO4995" s="340"/>
      <c r="AS4995" s="340"/>
      <c r="AX4995" s="340"/>
      <c r="BB4995" s="340"/>
      <c r="BD4995" s="339"/>
    </row>
    <row r="4996" spans="7:56" s="338" customFormat="1">
      <c r="G4996" s="340"/>
      <c r="L4996" s="340"/>
      <c r="P4996" s="340"/>
      <c r="U4996" s="340"/>
      <c r="V4996" s="340"/>
      <c r="Z4996" s="340"/>
      <c r="AE4996" s="340"/>
      <c r="AI4996" s="340"/>
      <c r="AN4996" s="340"/>
      <c r="AO4996" s="340"/>
      <c r="AS4996" s="340"/>
      <c r="AX4996" s="340"/>
      <c r="BB4996" s="340"/>
      <c r="BD4996" s="339"/>
    </row>
    <row r="4997" spans="7:56" s="338" customFormat="1">
      <c r="G4997" s="340"/>
      <c r="L4997" s="340"/>
      <c r="P4997" s="340"/>
      <c r="U4997" s="340"/>
      <c r="V4997" s="340"/>
      <c r="Z4997" s="340"/>
      <c r="AE4997" s="340"/>
      <c r="AI4997" s="340"/>
      <c r="AN4997" s="340"/>
      <c r="AO4997" s="340"/>
      <c r="AS4997" s="340"/>
      <c r="AX4997" s="340"/>
      <c r="BB4997" s="340"/>
      <c r="BD4997" s="339"/>
    </row>
    <row r="4998" spans="7:56" s="338" customFormat="1">
      <c r="G4998" s="340"/>
      <c r="L4998" s="340"/>
      <c r="P4998" s="340"/>
      <c r="U4998" s="340"/>
      <c r="V4998" s="340"/>
      <c r="Z4998" s="340"/>
      <c r="AE4998" s="340"/>
      <c r="AI4998" s="340"/>
      <c r="AN4998" s="340"/>
      <c r="AO4998" s="340"/>
      <c r="AS4998" s="340"/>
      <c r="AX4998" s="340"/>
      <c r="BB4998" s="340"/>
      <c r="BD4998" s="339"/>
    </row>
    <row r="4999" spans="7:56" s="338" customFormat="1">
      <c r="G4999" s="340"/>
      <c r="L4999" s="340"/>
      <c r="P4999" s="340"/>
      <c r="U4999" s="340"/>
      <c r="V4999" s="340"/>
      <c r="Z4999" s="340"/>
      <c r="AE4999" s="340"/>
      <c r="AI4999" s="340"/>
      <c r="AN4999" s="340"/>
      <c r="AO4999" s="340"/>
      <c r="AS4999" s="340"/>
      <c r="AX4999" s="340"/>
      <c r="BB4999" s="340"/>
      <c r="BD4999" s="339"/>
    </row>
    <row r="5000" spans="7:56" s="338" customFormat="1">
      <c r="G5000" s="340"/>
      <c r="L5000" s="340"/>
      <c r="P5000" s="340"/>
      <c r="U5000" s="340"/>
      <c r="V5000" s="340"/>
      <c r="Z5000" s="340"/>
      <c r="AE5000" s="340"/>
      <c r="AI5000" s="340"/>
      <c r="AN5000" s="340"/>
      <c r="AO5000" s="340"/>
      <c r="AS5000" s="340"/>
      <c r="AX5000" s="340"/>
      <c r="BB5000" s="340"/>
      <c r="BD5000" s="339"/>
    </row>
    <row r="5001" spans="7:56" s="338" customFormat="1">
      <c r="G5001" s="340"/>
      <c r="L5001" s="340"/>
      <c r="P5001" s="340"/>
      <c r="U5001" s="340"/>
      <c r="V5001" s="340"/>
      <c r="Z5001" s="340"/>
      <c r="AE5001" s="340"/>
      <c r="AI5001" s="340"/>
      <c r="AN5001" s="340"/>
      <c r="AO5001" s="340"/>
      <c r="AS5001" s="340"/>
      <c r="AX5001" s="340"/>
      <c r="BB5001" s="340"/>
      <c r="BD5001" s="339"/>
    </row>
    <row r="5002" spans="7:56" s="338" customFormat="1">
      <c r="G5002" s="340"/>
      <c r="L5002" s="340"/>
      <c r="P5002" s="340"/>
      <c r="U5002" s="340"/>
      <c r="V5002" s="340"/>
      <c r="Z5002" s="340"/>
      <c r="AE5002" s="340"/>
      <c r="AI5002" s="340"/>
      <c r="AN5002" s="340"/>
      <c r="AO5002" s="340"/>
      <c r="AS5002" s="340"/>
      <c r="AX5002" s="340"/>
      <c r="BB5002" s="340"/>
      <c r="BD5002" s="339"/>
    </row>
    <row r="5003" spans="7:56" s="338" customFormat="1">
      <c r="G5003" s="340"/>
      <c r="L5003" s="340"/>
      <c r="P5003" s="340"/>
      <c r="U5003" s="340"/>
      <c r="V5003" s="340"/>
      <c r="Z5003" s="340"/>
      <c r="AE5003" s="340"/>
      <c r="AI5003" s="340"/>
      <c r="AN5003" s="340"/>
      <c r="AO5003" s="340"/>
      <c r="AS5003" s="340"/>
      <c r="AX5003" s="340"/>
      <c r="BB5003" s="340"/>
      <c r="BD5003" s="339"/>
    </row>
    <row r="5004" spans="7:56" s="338" customFormat="1">
      <c r="G5004" s="340"/>
      <c r="L5004" s="340"/>
      <c r="P5004" s="340"/>
      <c r="U5004" s="340"/>
      <c r="V5004" s="340"/>
      <c r="Z5004" s="340"/>
      <c r="AE5004" s="340"/>
      <c r="AI5004" s="340"/>
      <c r="AN5004" s="340"/>
      <c r="AO5004" s="340"/>
      <c r="AS5004" s="340"/>
      <c r="AX5004" s="340"/>
      <c r="BB5004" s="340"/>
      <c r="BD5004" s="339"/>
    </row>
    <row r="5005" spans="7:56" s="338" customFormat="1">
      <c r="G5005" s="340"/>
      <c r="L5005" s="340"/>
      <c r="P5005" s="340"/>
      <c r="U5005" s="340"/>
      <c r="V5005" s="340"/>
      <c r="Z5005" s="340"/>
      <c r="AE5005" s="340"/>
      <c r="AI5005" s="340"/>
      <c r="AN5005" s="340"/>
      <c r="AO5005" s="340"/>
      <c r="AS5005" s="340"/>
      <c r="AX5005" s="340"/>
      <c r="BB5005" s="340"/>
      <c r="BD5005" s="339"/>
    </row>
    <row r="5006" spans="7:56" s="338" customFormat="1">
      <c r="G5006" s="340"/>
      <c r="L5006" s="340"/>
      <c r="P5006" s="340"/>
      <c r="U5006" s="340"/>
      <c r="V5006" s="340"/>
      <c r="Z5006" s="340"/>
      <c r="AE5006" s="340"/>
      <c r="AI5006" s="340"/>
      <c r="AN5006" s="340"/>
      <c r="AO5006" s="340"/>
      <c r="AS5006" s="340"/>
      <c r="AX5006" s="340"/>
      <c r="BB5006" s="340"/>
      <c r="BD5006" s="339"/>
    </row>
    <row r="5007" spans="7:56" s="338" customFormat="1">
      <c r="G5007" s="340"/>
      <c r="L5007" s="340"/>
      <c r="P5007" s="340"/>
      <c r="U5007" s="340"/>
      <c r="V5007" s="340"/>
      <c r="Z5007" s="340"/>
      <c r="AE5007" s="340"/>
      <c r="AI5007" s="340"/>
      <c r="AN5007" s="340"/>
      <c r="AO5007" s="340"/>
      <c r="AS5007" s="340"/>
      <c r="AX5007" s="340"/>
      <c r="BB5007" s="340"/>
      <c r="BD5007" s="339"/>
    </row>
    <row r="5008" spans="7:56" s="338" customFormat="1">
      <c r="G5008" s="340"/>
      <c r="L5008" s="340"/>
      <c r="P5008" s="340"/>
      <c r="U5008" s="340"/>
      <c r="V5008" s="340"/>
      <c r="Z5008" s="340"/>
      <c r="AE5008" s="340"/>
      <c r="AI5008" s="340"/>
      <c r="AN5008" s="340"/>
      <c r="AO5008" s="340"/>
      <c r="AS5008" s="340"/>
      <c r="AX5008" s="340"/>
      <c r="BB5008" s="340"/>
      <c r="BD5008" s="339"/>
    </row>
    <row r="5009" spans="7:56" s="338" customFormat="1">
      <c r="G5009" s="340"/>
      <c r="L5009" s="340"/>
      <c r="P5009" s="340"/>
      <c r="U5009" s="340"/>
      <c r="V5009" s="340"/>
      <c r="Z5009" s="340"/>
      <c r="AE5009" s="340"/>
      <c r="AI5009" s="340"/>
      <c r="AN5009" s="340"/>
      <c r="AO5009" s="340"/>
      <c r="AS5009" s="340"/>
      <c r="AX5009" s="340"/>
      <c r="BB5009" s="340"/>
      <c r="BD5009" s="339"/>
    </row>
    <row r="5010" spans="7:56" s="338" customFormat="1">
      <c r="G5010" s="340"/>
      <c r="L5010" s="340"/>
      <c r="P5010" s="340"/>
      <c r="U5010" s="340"/>
      <c r="V5010" s="340"/>
      <c r="Z5010" s="340"/>
      <c r="AE5010" s="340"/>
      <c r="AI5010" s="340"/>
      <c r="AN5010" s="340"/>
      <c r="AO5010" s="340"/>
      <c r="AS5010" s="340"/>
      <c r="AX5010" s="340"/>
      <c r="BB5010" s="340"/>
      <c r="BD5010" s="339"/>
    </row>
    <row r="5011" spans="7:56" s="338" customFormat="1">
      <c r="G5011" s="340"/>
      <c r="L5011" s="340"/>
      <c r="P5011" s="340"/>
      <c r="U5011" s="340"/>
      <c r="V5011" s="340"/>
      <c r="Z5011" s="340"/>
      <c r="AE5011" s="340"/>
      <c r="AI5011" s="340"/>
      <c r="AN5011" s="340"/>
      <c r="AO5011" s="340"/>
      <c r="AS5011" s="340"/>
      <c r="AX5011" s="340"/>
      <c r="BB5011" s="340"/>
      <c r="BD5011" s="339"/>
    </row>
    <row r="5012" spans="7:56" s="338" customFormat="1">
      <c r="G5012" s="340"/>
      <c r="L5012" s="340"/>
      <c r="P5012" s="340"/>
      <c r="U5012" s="340"/>
      <c r="V5012" s="340"/>
      <c r="Z5012" s="340"/>
      <c r="AE5012" s="340"/>
      <c r="AI5012" s="340"/>
      <c r="AN5012" s="340"/>
      <c r="AO5012" s="340"/>
      <c r="AS5012" s="340"/>
      <c r="AX5012" s="340"/>
      <c r="BB5012" s="340"/>
      <c r="BD5012" s="339"/>
    </row>
    <row r="5013" spans="7:56" s="338" customFormat="1">
      <c r="G5013" s="340"/>
      <c r="L5013" s="340"/>
      <c r="P5013" s="340"/>
      <c r="U5013" s="340"/>
      <c r="V5013" s="340"/>
      <c r="Z5013" s="340"/>
      <c r="AE5013" s="340"/>
      <c r="AI5013" s="340"/>
      <c r="AN5013" s="340"/>
      <c r="AO5013" s="340"/>
      <c r="AS5013" s="340"/>
      <c r="AX5013" s="340"/>
      <c r="BB5013" s="340"/>
      <c r="BD5013" s="339"/>
    </row>
    <row r="5014" spans="7:56" s="338" customFormat="1">
      <c r="G5014" s="340"/>
      <c r="L5014" s="340"/>
      <c r="P5014" s="340"/>
      <c r="U5014" s="340"/>
      <c r="V5014" s="340"/>
      <c r="Z5014" s="340"/>
      <c r="AE5014" s="340"/>
      <c r="AI5014" s="340"/>
      <c r="AN5014" s="340"/>
      <c r="AO5014" s="340"/>
      <c r="AS5014" s="340"/>
      <c r="AX5014" s="340"/>
      <c r="BB5014" s="340"/>
      <c r="BD5014" s="339"/>
    </row>
    <row r="5015" spans="7:56" s="338" customFormat="1">
      <c r="G5015" s="340"/>
      <c r="L5015" s="340"/>
      <c r="P5015" s="340"/>
      <c r="U5015" s="340"/>
      <c r="V5015" s="340"/>
      <c r="Z5015" s="340"/>
      <c r="AE5015" s="340"/>
      <c r="AI5015" s="340"/>
      <c r="AN5015" s="340"/>
      <c r="AO5015" s="340"/>
      <c r="AS5015" s="340"/>
      <c r="AX5015" s="340"/>
      <c r="BB5015" s="340"/>
      <c r="BD5015" s="339"/>
    </row>
    <row r="5016" spans="7:56" s="338" customFormat="1">
      <c r="G5016" s="340"/>
      <c r="L5016" s="340"/>
      <c r="P5016" s="340"/>
      <c r="U5016" s="340"/>
      <c r="V5016" s="340"/>
      <c r="Z5016" s="340"/>
      <c r="AE5016" s="340"/>
      <c r="AI5016" s="340"/>
      <c r="AN5016" s="340"/>
      <c r="AO5016" s="340"/>
      <c r="AS5016" s="340"/>
      <c r="AX5016" s="340"/>
      <c r="BB5016" s="340"/>
      <c r="BD5016" s="339"/>
    </row>
    <row r="5017" spans="7:56" s="338" customFormat="1">
      <c r="G5017" s="340"/>
      <c r="L5017" s="340"/>
      <c r="P5017" s="340"/>
      <c r="U5017" s="340"/>
      <c r="V5017" s="340"/>
      <c r="Z5017" s="340"/>
      <c r="AE5017" s="340"/>
      <c r="AI5017" s="340"/>
      <c r="AN5017" s="340"/>
      <c r="AO5017" s="340"/>
      <c r="AS5017" s="340"/>
      <c r="AX5017" s="340"/>
      <c r="BB5017" s="340"/>
      <c r="BD5017" s="339"/>
    </row>
    <row r="5018" spans="7:56" s="338" customFormat="1">
      <c r="G5018" s="340"/>
      <c r="L5018" s="340"/>
      <c r="P5018" s="340"/>
      <c r="U5018" s="340"/>
      <c r="V5018" s="340"/>
      <c r="Z5018" s="340"/>
      <c r="AE5018" s="340"/>
      <c r="AI5018" s="340"/>
      <c r="AN5018" s="340"/>
      <c r="AO5018" s="340"/>
      <c r="AS5018" s="340"/>
      <c r="AX5018" s="340"/>
      <c r="BB5018" s="340"/>
      <c r="BD5018" s="339"/>
    </row>
    <row r="5019" spans="7:56" s="338" customFormat="1">
      <c r="G5019" s="340"/>
      <c r="L5019" s="340"/>
      <c r="P5019" s="340"/>
      <c r="U5019" s="340"/>
      <c r="V5019" s="340"/>
      <c r="Z5019" s="340"/>
      <c r="AE5019" s="340"/>
      <c r="AI5019" s="340"/>
      <c r="AN5019" s="340"/>
      <c r="AO5019" s="340"/>
      <c r="AS5019" s="340"/>
      <c r="AX5019" s="340"/>
      <c r="BB5019" s="340"/>
      <c r="BD5019" s="339"/>
    </row>
    <row r="5020" spans="7:56" s="338" customFormat="1">
      <c r="G5020" s="340"/>
      <c r="L5020" s="340"/>
      <c r="P5020" s="340"/>
      <c r="U5020" s="340"/>
      <c r="V5020" s="340"/>
      <c r="Z5020" s="340"/>
      <c r="AE5020" s="340"/>
      <c r="AI5020" s="340"/>
      <c r="AN5020" s="340"/>
      <c r="AO5020" s="340"/>
      <c r="AS5020" s="340"/>
      <c r="AX5020" s="340"/>
      <c r="BB5020" s="340"/>
      <c r="BD5020" s="339"/>
    </row>
    <row r="5021" spans="7:56" s="338" customFormat="1">
      <c r="G5021" s="340"/>
      <c r="L5021" s="340"/>
      <c r="P5021" s="340"/>
      <c r="U5021" s="340"/>
      <c r="V5021" s="340"/>
      <c r="Z5021" s="340"/>
      <c r="AE5021" s="340"/>
      <c r="AI5021" s="340"/>
      <c r="AN5021" s="340"/>
      <c r="AO5021" s="340"/>
      <c r="AS5021" s="340"/>
      <c r="AX5021" s="340"/>
      <c r="BB5021" s="340"/>
      <c r="BD5021" s="339"/>
    </row>
    <row r="5022" spans="7:56" s="338" customFormat="1">
      <c r="G5022" s="340"/>
      <c r="L5022" s="340"/>
      <c r="P5022" s="340"/>
      <c r="U5022" s="340"/>
      <c r="V5022" s="340"/>
      <c r="Z5022" s="340"/>
      <c r="AE5022" s="340"/>
      <c r="AI5022" s="340"/>
      <c r="AN5022" s="340"/>
      <c r="AO5022" s="340"/>
      <c r="AS5022" s="340"/>
      <c r="AX5022" s="340"/>
      <c r="BB5022" s="340"/>
      <c r="BD5022" s="339"/>
    </row>
    <row r="5023" spans="7:56" s="338" customFormat="1">
      <c r="G5023" s="340"/>
      <c r="L5023" s="340"/>
      <c r="P5023" s="340"/>
      <c r="U5023" s="340"/>
      <c r="V5023" s="340"/>
      <c r="Z5023" s="340"/>
      <c r="AE5023" s="340"/>
      <c r="AI5023" s="340"/>
      <c r="AN5023" s="340"/>
      <c r="AO5023" s="340"/>
      <c r="AS5023" s="340"/>
      <c r="AX5023" s="340"/>
      <c r="BB5023" s="340"/>
      <c r="BD5023" s="339"/>
    </row>
    <row r="5024" spans="7:56" s="338" customFormat="1">
      <c r="G5024" s="340"/>
      <c r="L5024" s="340"/>
      <c r="P5024" s="340"/>
      <c r="U5024" s="340"/>
      <c r="V5024" s="340"/>
      <c r="Z5024" s="340"/>
      <c r="AE5024" s="340"/>
      <c r="AI5024" s="340"/>
      <c r="AN5024" s="340"/>
      <c r="AO5024" s="340"/>
      <c r="AS5024" s="340"/>
      <c r="AX5024" s="340"/>
      <c r="BB5024" s="340"/>
      <c r="BD5024" s="339"/>
    </row>
    <row r="5025" spans="7:56" s="338" customFormat="1">
      <c r="G5025" s="340"/>
      <c r="L5025" s="340"/>
      <c r="P5025" s="340"/>
      <c r="U5025" s="340"/>
      <c r="V5025" s="340"/>
      <c r="Z5025" s="340"/>
      <c r="AE5025" s="340"/>
      <c r="AI5025" s="340"/>
      <c r="AN5025" s="340"/>
      <c r="AO5025" s="340"/>
      <c r="AS5025" s="340"/>
      <c r="AX5025" s="340"/>
      <c r="BB5025" s="340"/>
      <c r="BD5025" s="339"/>
    </row>
    <row r="5026" spans="7:56" s="338" customFormat="1">
      <c r="G5026" s="340"/>
      <c r="L5026" s="340"/>
      <c r="P5026" s="340"/>
      <c r="U5026" s="340"/>
      <c r="V5026" s="340"/>
      <c r="Z5026" s="340"/>
      <c r="AE5026" s="340"/>
      <c r="AI5026" s="340"/>
      <c r="AN5026" s="340"/>
      <c r="AO5026" s="340"/>
      <c r="AS5026" s="340"/>
      <c r="AX5026" s="340"/>
      <c r="BB5026" s="340"/>
      <c r="BD5026" s="339"/>
    </row>
    <row r="5027" spans="7:56" s="338" customFormat="1">
      <c r="G5027" s="340"/>
      <c r="L5027" s="340"/>
      <c r="P5027" s="340"/>
      <c r="U5027" s="340"/>
      <c r="V5027" s="340"/>
      <c r="Z5027" s="340"/>
      <c r="AE5027" s="340"/>
      <c r="AI5027" s="340"/>
      <c r="AN5027" s="340"/>
      <c r="AO5027" s="340"/>
      <c r="AS5027" s="340"/>
      <c r="AX5027" s="340"/>
      <c r="BB5027" s="340"/>
      <c r="BD5027" s="339"/>
    </row>
    <row r="5028" spans="7:56" s="338" customFormat="1">
      <c r="G5028" s="340"/>
      <c r="L5028" s="340"/>
      <c r="P5028" s="340"/>
      <c r="U5028" s="340"/>
      <c r="V5028" s="340"/>
      <c r="Z5028" s="340"/>
      <c r="AE5028" s="340"/>
      <c r="AI5028" s="340"/>
      <c r="AN5028" s="340"/>
      <c r="AO5028" s="340"/>
      <c r="AS5028" s="340"/>
      <c r="AX5028" s="340"/>
      <c r="BB5028" s="340"/>
      <c r="BD5028" s="339"/>
    </row>
    <row r="5029" spans="7:56" s="338" customFormat="1">
      <c r="G5029" s="340"/>
      <c r="L5029" s="340"/>
      <c r="P5029" s="340"/>
      <c r="U5029" s="340"/>
      <c r="V5029" s="340"/>
      <c r="Z5029" s="340"/>
      <c r="AE5029" s="340"/>
      <c r="AI5029" s="340"/>
      <c r="AN5029" s="340"/>
      <c r="AO5029" s="340"/>
      <c r="AS5029" s="340"/>
      <c r="AX5029" s="340"/>
      <c r="BB5029" s="340"/>
      <c r="BD5029" s="339"/>
    </row>
    <row r="5030" spans="7:56" s="338" customFormat="1">
      <c r="G5030" s="340"/>
      <c r="L5030" s="340"/>
      <c r="P5030" s="340"/>
      <c r="U5030" s="340"/>
      <c r="V5030" s="340"/>
      <c r="Z5030" s="340"/>
      <c r="AE5030" s="340"/>
      <c r="AI5030" s="340"/>
      <c r="AN5030" s="340"/>
      <c r="AO5030" s="340"/>
      <c r="AS5030" s="340"/>
      <c r="AX5030" s="340"/>
      <c r="BB5030" s="340"/>
      <c r="BD5030" s="339"/>
    </row>
    <row r="5031" spans="7:56" s="338" customFormat="1">
      <c r="G5031" s="340"/>
      <c r="L5031" s="340"/>
      <c r="P5031" s="340"/>
      <c r="U5031" s="340"/>
      <c r="V5031" s="340"/>
      <c r="Z5031" s="340"/>
      <c r="AE5031" s="340"/>
      <c r="AI5031" s="340"/>
      <c r="AN5031" s="340"/>
      <c r="AO5031" s="340"/>
      <c r="AS5031" s="340"/>
      <c r="AX5031" s="340"/>
      <c r="BB5031" s="340"/>
      <c r="BD5031" s="339"/>
    </row>
    <row r="5032" spans="7:56" s="338" customFormat="1">
      <c r="G5032" s="340"/>
      <c r="L5032" s="340"/>
      <c r="P5032" s="340"/>
      <c r="U5032" s="340"/>
      <c r="V5032" s="340"/>
      <c r="Z5032" s="340"/>
      <c r="AE5032" s="340"/>
      <c r="AI5032" s="340"/>
      <c r="AN5032" s="340"/>
      <c r="AO5032" s="340"/>
      <c r="AS5032" s="340"/>
      <c r="AX5032" s="340"/>
      <c r="BB5032" s="340"/>
      <c r="BD5032" s="339"/>
    </row>
    <row r="5033" spans="7:56" s="338" customFormat="1">
      <c r="G5033" s="340"/>
      <c r="L5033" s="340"/>
      <c r="P5033" s="340"/>
      <c r="U5033" s="340"/>
      <c r="V5033" s="340"/>
      <c r="Z5033" s="340"/>
      <c r="AE5033" s="340"/>
      <c r="AI5033" s="340"/>
      <c r="AN5033" s="340"/>
      <c r="AO5033" s="340"/>
      <c r="AS5033" s="340"/>
      <c r="AX5033" s="340"/>
      <c r="BB5033" s="340"/>
      <c r="BD5033" s="339"/>
    </row>
    <row r="5034" spans="7:56" s="338" customFormat="1">
      <c r="G5034" s="340"/>
      <c r="L5034" s="340"/>
      <c r="P5034" s="340"/>
      <c r="U5034" s="340"/>
      <c r="V5034" s="340"/>
      <c r="Z5034" s="340"/>
      <c r="AE5034" s="340"/>
      <c r="AI5034" s="340"/>
      <c r="AN5034" s="340"/>
      <c r="AO5034" s="340"/>
      <c r="AS5034" s="340"/>
      <c r="AX5034" s="340"/>
      <c r="BB5034" s="340"/>
      <c r="BD5034" s="339"/>
    </row>
    <row r="5035" spans="7:56" s="338" customFormat="1">
      <c r="G5035" s="340"/>
      <c r="L5035" s="340"/>
      <c r="P5035" s="340"/>
      <c r="U5035" s="340"/>
      <c r="V5035" s="340"/>
      <c r="Z5035" s="340"/>
      <c r="AE5035" s="340"/>
      <c r="AI5035" s="340"/>
      <c r="AN5035" s="340"/>
      <c r="AO5035" s="340"/>
      <c r="AS5035" s="340"/>
      <c r="AX5035" s="340"/>
      <c r="BB5035" s="340"/>
      <c r="BD5035" s="339"/>
    </row>
    <row r="5036" spans="7:56" s="338" customFormat="1">
      <c r="G5036" s="340"/>
      <c r="L5036" s="340"/>
      <c r="P5036" s="340"/>
      <c r="U5036" s="340"/>
      <c r="V5036" s="340"/>
      <c r="Z5036" s="340"/>
      <c r="AE5036" s="340"/>
      <c r="AI5036" s="340"/>
      <c r="AN5036" s="340"/>
      <c r="AO5036" s="340"/>
      <c r="AS5036" s="340"/>
      <c r="AX5036" s="340"/>
      <c r="BB5036" s="340"/>
      <c r="BD5036" s="339"/>
    </row>
    <row r="5037" spans="7:56" s="338" customFormat="1">
      <c r="G5037" s="340"/>
      <c r="L5037" s="340"/>
      <c r="P5037" s="340"/>
      <c r="U5037" s="340"/>
      <c r="V5037" s="340"/>
      <c r="Z5037" s="340"/>
      <c r="AE5037" s="340"/>
      <c r="AI5037" s="340"/>
      <c r="AN5037" s="340"/>
      <c r="AO5037" s="340"/>
      <c r="AS5037" s="340"/>
      <c r="AX5037" s="340"/>
      <c r="BB5037" s="340"/>
      <c r="BD5037" s="339"/>
    </row>
    <row r="5038" spans="7:56" s="338" customFormat="1">
      <c r="G5038" s="340"/>
      <c r="L5038" s="340"/>
      <c r="P5038" s="340"/>
      <c r="U5038" s="340"/>
      <c r="V5038" s="340"/>
      <c r="Z5038" s="340"/>
      <c r="AE5038" s="340"/>
      <c r="AI5038" s="340"/>
      <c r="AN5038" s="340"/>
      <c r="AO5038" s="340"/>
      <c r="AS5038" s="340"/>
      <c r="AX5038" s="340"/>
      <c r="BB5038" s="340"/>
      <c r="BD5038" s="339"/>
    </row>
    <row r="5039" spans="7:56" s="338" customFormat="1">
      <c r="G5039" s="340"/>
      <c r="L5039" s="340"/>
      <c r="P5039" s="340"/>
      <c r="U5039" s="340"/>
      <c r="V5039" s="340"/>
      <c r="Z5039" s="340"/>
      <c r="AE5039" s="340"/>
      <c r="AI5039" s="340"/>
      <c r="AN5039" s="340"/>
      <c r="AO5039" s="340"/>
      <c r="AS5039" s="340"/>
      <c r="AX5039" s="340"/>
      <c r="BB5039" s="340"/>
      <c r="BD5039" s="339"/>
    </row>
    <row r="5040" spans="7:56" s="338" customFormat="1">
      <c r="G5040" s="340"/>
      <c r="L5040" s="340"/>
      <c r="P5040" s="340"/>
      <c r="U5040" s="340"/>
      <c r="V5040" s="340"/>
      <c r="Z5040" s="340"/>
      <c r="AE5040" s="340"/>
      <c r="AI5040" s="340"/>
      <c r="AN5040" s="340"/>
      <c r="AO5040" s="340"/>
      <c r="AS5040" s="340"/>
      <c r="AX5040" s="340"/>
      <c r="BB5040" s="340"/>
      <c r="BD5040" s="339"/>
    </row>
    <row r="5041" spans="7:56" s="338" customFormat="1">
      <c r="G5041" s="340"/>
      <c r="L5041" s="340"/>
      <c r="P5041" s="340"/>
      <c r="U5041" s="340"/>
      <c r="V5041" s="340"/>
      <c r="Z5041" s="340"/>
      <c r="AE5041" s="340"/>
      <c r="AI5041" s="340"/>
      <c r="AN5041" s="340"/>
      <c r="AO5041" s="340"/>
      <c r="AS5041" s="340"/>
      <c r="AX5041" s="340"/>
      <c r="BB5041" s="340"/>
      <c r="BD5041" s="339"/>
    </row>
    <row r="5042" spans="7:56" s="338" customFormat="1">
      <c r="G5042" s="340"/>
      <c r="L5042" s="340"/>
      <c r="P5042" s="340"/>
      <c r="U5042" s="340"/>
      <c r="V5042" s="340"/>
      <c r="Z5042" s="340"/>
      <c r="AE5042" s="340"/>
      <c r="AI5042" s="340"/>
      <c r="AN5042" s="340"/>
      <c r="AO5042" s="340"/>
      <c r="AS5042" s="340"/>
      <c r="AX5042" s="340"/>
      <c r="BB5042" s="340"/>
      <c r="BD5042" s="339"/>
    </row>
    <row r="5043" spans="7:56" s="338" customFormat="1">
      <c r="G5043" s="340"/>
      <c r="L5043" s="340"/>
      <c r="P5043" s="340"/>
      <c r="U5043" s="340"/>
      <c r="V5043" s="340"/>
      <c r="Z5043" s="340"/>
      <c r="AE5043" s="340"/>
      <c r="AI5043" s="340"/>
      <c r="AN5043" s="340"/>
      <c r="AO5043" s="340"/>
      <c r="AS5043" s="340"/>
      <c r="AX5043" s="340"/>
      <c r="BB5043" s="340"/>
      <c r="BD5043" s="339"/>
    </row>
    <row r="5044" spans="7:56" s="338" customFormat="1">
      <c r="G5044" s="340"/>
      <c r="L5044" s="340"/>
      <c r="P5044" s="340"/>
      <c r="U5044" s="340"/>
      <c r="V5044" s="340"/>
      <c r="Z5044" s="340"/>
      <c r="AE5044" s="340"/>
      <c r="AI5044" s="340"/>
      <c r="AN5044" s="340"/>
      <c r="AO5044" s="340"/>
      <c r="AS5044" s="340"/>
      <c r="AX5044" s="340"/>
      <c r="BB5044" s="340"/>
      <c r="BD5044" s="339"/>
    </row>
    <row r="5045" spans="7:56" s="338" customFormat="1">
      <c r="G5045" s="340"/>
      <c r="L5045" s="340"/>
      <c r="P5045" s="340"/>
      <c r="U5045" s="340"/>
      <c r="V5045" s="340"/>
      <c r="Z5045" s="340"/>
      <c r="AE5045" s="340"/>
      <c r="AI5045" s="340"/>
      <c r="AN5045" s="340"/>
      <c r="AO5045" s="340"/>
      <c r="AS5045" s="340"/>
      <c r="AX5045" s="340"/>
      <c r="BB5045" s="340"/>
      <c r="BD5045" s="339"/>
    </row>
    <row r="5046" spans="7:56" s="338" customFormat="1">
      <c r="G5046" s="340"/>
      <c r="L5046" s="340"/>
      <c r="P5046" s="340"/>
      <c r="U5046" s="340"/>
      <c r="V5046" s="340"/>
      <c r="Z5046" s="340"/>
      <c r="AE5046" s="340"/>
      <c r="AI5046" s="340"/>
      <c r="AN5046" s="340"/>
      <c r="AO5046" s="340"/>
      <c r="AS5046" s="340"/>
      <c r="AX5046" s="340"/>
      <c r="BB5046" s="340"/>
      <c r="BD5046" s="339"/>
    </row>
    <row r="5047" spans="7:56" s="338" customFormat="1">
      <c r="G5047" s="340"/>
      <c r="L5047" s="340"/>
      <c r="P5047" s="340"/>
      <c r="U5047" s="340"/>
      <c r="V5047" s="340"/>
      <c r="Z5047" s="340"/>
      <c r="AE5047" s="340"/>
      <c r="AI5047" s="340"/>
      <c r="AN5047" s="340"/>
      <c r="AO5047" s="340"/>
      <c r="AS5047" s="340"/>
      <c r="AX5047" s="340"/>
      <c r="BB5047" s="340"/>
      <c r="BD5047" s="339"/>
    </row>
    <row r="5048" spans="7:56" s="338" customFormat="1">
      <c r="G5048" s="340"/>
      <c r="L5048" s="340"/>
      <c r="P5048" s="340"/>
      <c r="U5048" s="340"/>
      <c r="V5048" s="340"/>
      <c r="Z5048" s="340"/>
      <c r="AE5048" s="340"/>
      <c r="AI5048" s="340"/>
      <c r="AN5048" s="340"/>
      <c r="AO5048" s="340"/>
      <c r="AS5048" s="340"/>
      <c r="AX5048" s="340"/>
      <c r="BB5048" s="340"/>
      <c r="BD5048" s="339"/>
    </row>
    <row r="5049" spans="7:56" s="338" customFormat="1">
      <c r="G5049" s="340"/>
      <c r="L5049" s="340"/>
      <c r="P5049" s="340"/>
      <c r="U5049" s="340"/>
      <c r="V5049" s="340"/>
      <c r="Z5049" s="340"/>
      <c r="AE5049" s="340"/>
      <c r="AI5049" s="340"/>
      <c r="AN5049" s="340"/>
      <c r="AO5049" s="340"/>
      <c r="AS5049" s="340"/>
      <c r="AX5049" s="340"/>
      <c r="BB5049" s="340"/>
      <c r="BD5049" s="339"/>
    </row>
    <row r="5050" spans="7:56" s="338" customFormat="1">
      <c r="G5050" s="340"/>
      <c r="L5050" s="340"/>
      <c r="P5050" s="340"/>
      <c r="U5050" s="340"/>
      <c r="V5050" s="340"/>
      <c r="Z5050" s="340"/>
      <c r="AE5050" s="340"/>
      <c r="AI5050" s="340"/>
      <c r="AN5050" s="340"/>
      <c r="AO5050" s="340"/>
      <c r="AS5050" s="340"/>
      <c r="AX5050" s="340"/>
      <c r="BB5050" s="340"/>
      <c r="BD5050" s="339"/>
    </row>
    <row r="5051" spans="7:56" s="338" customFormat="1">
      <c r="G5051" s="340"/>
      <c r="L5051" s="340"/>
      <c r="P5051" s="340"/>
      <c r="U5051" s="340"/>
      <c r="V5051" s="340"/>
      <c r="Z5051" s="340"/>
      <c r="AE5051" s="340"/>
      <c r="AI5051" s="340"/>
      <c r="AN5051" s="340"/>
      <c r="AO5051" s="340"/>
      <c r="AS5051" s="340"/>
      <c r="AX5051" s="340"/>
      <c r="BB5051" s="340"/>
      <c r="BD5051" s="339"/>
    </row>
    <row r="5052" spans="7:56" s="338" customFormat="1">
      <c r="G5052" s="340"/>
      <c r="L5052" s="340"/>
      <c r="P5052" s="340"/>
      <c r="U5052" s="340"/>
      <c r="V5052" s="340"/>
      <c r="Z5052" s="340"/>
      <c r="AE5052" s="340"/>
      <c r="AI5052" s="340"/>
      <c r="AN5052" s="340"/>
      <c r="AO5052" s="340"/>
      <c r="AS5052" s="340"/>
      <c r="AX5052" s="340"/>
      <c r="BB5052" s="340"/>
      <c r="BD5052" s="339"/>
    </row>
    <row r="5053" spans="7:56" s="338" customFormat="1">
      <c r="G5053" s="340"/>
      <c r="L5053" s="340"/>
      <c r="P5053" s="340"/>
      <c r="U5053" s="340"/>
      <c r="V5053" s="340"/>
      <c r="Z5053" s="340"/>
      <c r="AE5053" s="340"/>
      <c r="AI5053" s="340"/>
      <c r="AN5053" s="340"/>
      <c r="AO5053" s="340"/>
      <c r="AS5053" s="340"/>
      <c r="AX5053" s="340"/>
      <c r="BB5053" s="340"/>
      <c r="BD5053" s="339"/>
    </row>
    <row r="5054" spans="7:56" s="338" customFormat="1">
      <c r="G5054" s="340"/>
      <c r="L5054" s="340"/>
      <c r="P5054" s="340"/>
      <c r="U5054" s="340"/>
      <c r="V5054" s="340"/>
      <c r="Z5054" s="340"/>
      <c r="AE5054" s="340"/>
      <c r="AI5054" s="340"/>
      <c r="AN5054" s="340"/>
      <c r="AO5054" s="340"/>
      <c r="AS5054" s="340"/>
      <c r="AX5054" s="340"/>
      <c r="BB5054" s="340"/>
      <c r="BD5054" s="339"/>
    </row>
    <row r="5055" spans="7:56" s="338" customFormat="1">
      <c r="G5055" s="340"/>
      <c r="L5055" s="340"/>
      <c r="P5055" s="340"/>
      <c r="U5055" s="340"/>
      <c r="V5055" s="340"/>
      <c r="Z5055" s="340"/>
      <c r="AE5055" s="340"/>
      <c r="AI5055" s="340"/>
      <c r="AN5055" s="340"/>
      <c r="AO5055" s="340"/>
      <c r="AS5055" s="340"/>
      <c r="AX5055" s="340"/>
      <c r="BB5055" s="340"/>
      <c r="BD5055" s="339"/>
    </row>
    <row r="5056" spans="7:56" s="338" customFormat="1">
      <c r="G5056" s="340"/>
      <c r="L5056" s="340"/>
      <c r="P5056" s="340"/>
      <c r="U5056" s="340"/>
      <c r="V5056" s="340"/>
      <c r="Z5056" s="340"/>
      <c r="AE5056" s="340"/>
      <c r="AI5056" s="340"/>
      <c r="AN5056" s="340"/>
      <c r="AO5056" s="340"/>
      <c r="AS5056" s="340"/>
      <c r="AX5056" s="340"/>
      <c r="BB5056" s="340"/>
      <c r="BD5056" s="339"/>
    </row>
    <row r="5057" spans="7:56" s="338" customFormat="1">
      <c r="G5057" s="340"/>
      <c r="L5057" s="340"/>
      <c r="P5057" s="340"/>
      <c r="U5057" s="340"/>
      <c r="V5057" s="340"/>
      <c r="Z5057" s="340"/>
      <c r="AE5057" s="340"/>
      <c r="AI5057" s="340"/>
      <c r="AN5057" s="340"/>
      <c r="AO5057" s="340"/>
      <c r="AS5057" s="340"/>
      <c r="AX5057" s="340"/>
      <c r="BB5057" s="340"/>
      <c r="BD5057" s="339"/>
    </row>
    <row r="5058" spans="7:56" s="338" customFormat="1">
      <c r="G5058" s="340"/>
      <c r="L5058" s="340"/>
      <c r="P5058" s="340"/>
      <c r="U5058" s="340"/>
      <c r="V5058" s="340"/>
      <c r="Z5058" s="340"/>
      <c r="AE5058" s="340"/>
      <c r="AI5058" s="340"/>
      <c r="AN5058" s="340"/>
      <c r="AO5058" s="340"/>
      <c r="AS5058" s="340"/>
      <c r="AX5058" s="340"/>
      <c r="BB5058" s="340"/>
      <c r="BD5058" s="339"/>
    </row>
    <row r="5059" spans="7:56" s="338" customFormat="1">
      <c r="G5059" s="340"/>
      <c r="L5059" s="340"/>
      <c r="P5059" s="340"/>
      <c r="U5059" s="340"/>
      <c r="V5059" s="340"/>
      <c r="Z5059" s="340"/>
      <c r="AE5059" s="340"/>
      <c r="AI5059" s="340"/>
      <c r="AN5059" s="340"/>
      <c r="AO5059" s="340"/>
      <c r="AS5059" s="340"/>
      <c r="AX5059" s="340"/>
      <c r="BB5059" s="340"/>
      <c r="BD5059" s="339"/>
    </row>
    <row r="5060" spans="7:56" s="338" customFormat="1">
      <c r="G5060" s="340"/>
      <c r="L5060" s="340"/>
      <c r="P5060" s="340"/>
      <c r="U5060" s="340"/>
      <c r="V5060" s="340"/>
      <c r="Z5060" s="340"/>
      <c r="AE5060" s="340"/>
      <c r="AI5060" s="340"/>
      <c r="AN5060" s="340"/>
      <c r="AO5060" s="340"/>
      <c r="AS5060" s="340"/>
      <c r="AX5060" s="340"/>
      <c r="BB5060" s="340"/>
      <c r="BD5060" s="339"/>
    </row>
    <row r="5061" spans="7:56" s="338" customFormat="1">
      <c r="G5061" s="340"/>
      <c r="L5061" s="340"/>
      <c r="P5061" s="340"/>
      <c r="U5061" s="340"/>
      <c r="V5061" s="340"/>
      <c r="Z5061" s="340"/>
      <c r="AE5061" s="340"/>
      <c r="AI5061" s="340"/>
      <c r="AN5061" s="340"/>
      <c r="AO5061" s="340"/>
      <c r="AS5061" s="340"/>
      <c r="AX5061" s="340"/>
      <c r="BB5061" s="340"/>
      <c r="BD5061" s="339"/>
    </row>
    <row r="5062" spans="7:56" s="338" customFormat="1">
      <c r="G5062" s="340"/>
      <c r="L5062" s="340"/>
      <c r="P5062" s="340"/>
      <c r="U5062" s="340"/>
      <c r="V5062" s="340"/>
      <c r="Z5062" s="340"/>
      <c r="AE5062" s="340"/>
      <c r="AI5062" s="340"/>
      <c r="AN5062" s="340"/>
      <c r="AO5062" s="340"/>
      <c r="AS5062" s="340"/>
      <c r="AX5062" s="340"/>
      <c r="BB5062" s="340"/>
      <c r="BD5062" s="339"/>
    </row>
    <row r="5063" spans="7:56" s="338" customFormat="1">
      <c r="G5063" s="340"/>
      <c r="L5063" s="340"/>
      <c r="P5063" s="340"/>
      <c r="U5063" s="340"/>
      <c r="V5063" s="340"/>
      <c r="Z5063" s="340"/>
      <c r="AE5063" s="340"/>
      <c r="AI5063" s="340"/>
      <c r="AN5063" s="340"/>
      <c r="AO5063" s="340"/>
      <c r="AS5063" s="340"/>
      <c r="AX5063" s="340"/>
      <c r="BB5063" s="340"/>
      <c r="BD5063" s="339"/>
    </row>
    <row r="5064" spans="7:56" s="338" customFormat="1">
      <c r="G5064" s="340"/>
      <c r="L5064" s="340"/>
      <c r="P5064" s="340"/>
      <c r="U5064" s="340"/>
      <c r="V5064" s="340"/>
      <c r="Z5064" s="340"/>
      <c r="AE5064" s="340"/>
      <c r="AI5064" s="340"/>
      <c r="AN5064" s="340"/>
      <c r="AO5064" s="340"/>
      <c r="AS5064" s="340"/>
      <c r="AX5064" s="340"/>
      <c r="BB5064" s="340"/>
      <c r="BD5064" s="339"/>
    </row>
    <row r="5065" spans="7:56" s="338" customFormat="1">
      <c r="G5065" s="340"/>
      <c r="L5065" s="340"/>
      <c r="P5065" s="340"/>
      <c r="U5065" s="340"/>
      <c r="V5065" s="340"/>
      <c r="Z5065" s="340"/>
      <c r="AE5065" s="340"/>
      <c r="AI5065" s="340"/>
      <c r="AN5065" s="340"/>
      <c r="AO5065" s="340"/>
      <c r="AS5065" s="340"/>
      <c r="AX5065" s="340"/>
      <c r="BB5065" s="340"/>
      <c r="BD5065" s="339"/>
    </row>
    <row r="5066" spans="7:56" s="338" customFormat="1">
      <c r="G5066" s="340"/>
      <c r="L5066" s="340"/>
      <c r="P5066" s="340"/>
      <c r="U5066" s="340"/>
      <c r="V5066" s="340"/>
      <c r="Z5066" s="340"/>
      <c r="AE5066" s="340"/>
      <c r="AI5066" s="340"/>
      <c r="AN5066" s="340"/>
      <c r="AO5066" s="340"/>
      <c r="AS5066" s="340"/>
      <c r="AX5066" s="340"/>
      <c r="BB5066" s="340"/>
      <c r="BD5066" s="339"/>
    </row>
    <row r="5067" spans="7:56" s="338" customFormat="1">
      <c r="G5067" s="340"/>
      <c r="L5067" s="340"/>
      <c r="P5067" s="340"/>
      <c r="U5067" s="340"/>
      <c r="V5067" s="340"/>
      <c r="Z5067" s="340"/>
      <c r="AE5067" s="340"/>
      <c r="AI5067" s="340"/>
      <c r="AN5067" s="340"/>
      <c r="AO5067" s="340"/>
      <c r="AS5067" s="340"/>
      <c r="AX5067" s="340"/>
      <c r="BB5067" s="340"/>
      <c r="BD5067" s="339"/>
    </row>
    <row r="5068" spans="7:56" s="338" customFormat="1">
      <c r="G5068" s="340"/>
      <c r="L5068" s="340"/>
      <c r="P5068" s="340"/>
      <c r="U5068" s="340"/>
      <c r="V5068" s="340"/>
      <c r="Z5068" s="340"/>
      <c r="AE5068" s="340"/>
      <c r="AI5068" s="340"/>
      <c r="AN5068" s="340"/>
      <c r="AO5068" s="340"/>
      <c r="AS5068" s="340"/>
      <c r="AX5068" s="340"/>
      <c r="BB5068" s="340"/>
      <c r="BD5068" s="339"/>
    </row>
    <row r="5069" spans="7:56" s="338" customFormat="1">
      <c r="G5069" s="340"/>
      <c r="L5069" s="340"/>
      <c r="P5069" s="340"/>
      <c r="U5069" s="340"/>
      <c r="V5069" s="340"/>
      <c r="Z5069" s="340"/>
      <c r="AE5069" s="340"/>
      <c r="AI5069" s="340"/>
      <c r="AN5069" s="340"/>
      <c r="AO5069" s="340"/>
      <c r="AS5069" s="340"/>
      <c r="AX5069" s="340"/>
      <c r="BB5069" s="340"/>
      <c r="BD5069" s="339"/>
    </row>
    <row r="5070" spans="7:56" s="338" customFormat="1">
      <c r="G5070" s="340"/>
      <c r="L5070" s="340"/>
      <c r="P5070" s="340"/>
      <c r="U5070" s="340"/>
      <c r="V5070" s="340"/>
      <c r="Z5070" s="340"/>
      <c r="AE5070" s="340"/>
      <c r="AI5070" s="340"/>
      <c r="AN5070" s="340"/>
      <c r="AO5070" s="340"/>
      <c r="AS5070" s="340"/>
      <c r="AX5070" s="340"/>
      <c r="BB5070" s="340"/>
      <c r="BD5070" s="339"/>
    </row>
    <row r="5071" spans="7:56" s="338" customFormat="1">
      <c r="G5071" s="340"/>
      <c r="L5071" s="340"/>
      <c r="P5071" s="340"/>
      <c r="U5071" s="340"/>
      <c r="V5071" s="340"/>
      <c r="Z5071" s="340"/>
      <c r="AE5071" s="340"/>
      <c r="AI5071" s="340"/>
      <c r="AN5071" s="340"/>
      <c r="AO5071" s="340"/>
      <c r="AS5071" s="340"/>
      <c r="AX5071" s="340"/>
      <c r="BB5071" s="340"/>
      <c r="BD5071" s="339"/>
    </row>
    <row r="5072" spans="7:56" s="338" customFormat="1">
      <c r="G5072" s="340"/>
      <c r="L5072" s="340"/>
      <c r="P5072" s="340"/>
      <c r="U5072" s="340"/>
      <c r="V5072" s="340"/>
      <c r="Z5072" s="340"/>
      <c r="AE5072" s="340"/>
      <c r="AI5072" s="340"/>
      <c r="AN5072" s="340"/>
      <c r="AO5072" s="340"/>
      <c r="AS5072" s="340"/>
      <c r="AX5072" s="340"/>
      <c r="BB5072" s="340"/>
      <c r="BD5072" s="339"/>
    </row>
    <row r="5073" spans="7:56" s="338" customFormat="1">
      <c r="G5073" s="340"/>
      <c r="L5073" s="340"/>
      <c r="P5073" s="340"/>
      <c r="U5073" s="340"/>
      <c r="V5073" s="340"/>
      <c r="Z5073" s="340"/>
      <c r="AE5073" s="340"/>
      <c r="AI5073" s="340"/>
      <c r="AN5073" s="340"/>
      <c r="AO5073" s="340"/>
      <c r="AS5073" s="340"/>
      <c r="AX5073" s="340"/>
      <c r="BB5073" s="340"/>
      <c r="BD5073" s="339"/>
    </row>
    <row r="5074" spans="7:56" s="338" customFormat="1">
      <c r="G5074" s="340"/>
      <c r="L5074" s="340"/>
      <c r="P5074" s="340"/>
      <c r="U5074" s="340"/>
      <c r="V5074" s="340"/>
      <c r="Z5074" s="340"/>
      <c r="AE5074" s="340"/>
      <c r="AI5074" s="340"/>
      <c r="AN5074" s="340"/>
      <c r="AO5074" s="340"/>
      <c r="AS5074" s="340"/>
      <c r="AX5074" s="340"/>
      <c r="BB5074" s="340"/>
      <c r="BD5074" s="339"/>
    </row>
    <row r="5075" spans="7:56" s="338" customFormat="1">
      <c r="G5075" s="340"/>
      <c r="L5075" s="340"/>
      <c r="P5075" s="340"/>
      <c r="U5075" s="340"/>
      <c r="V5075" s="340"/>
      <c r="Z5075" s="340"/>
      <c r="AE5075" s="340"/>
      <c r="AI5075" s="340"/>
      <c r="AN5075" s="340"/>
      <c r="AO5075" s="340"/>
      <c r="AS5075" s="340"/>
      <c r="AX5075" s="340"/>
      <c r="BB5075" s="340"/>
      <c r="BD5075" s="339"/>
    </row>
    <row r="5076" spans="7:56" s="338" customFormat="1">
      <c r="G5076" s="340"/>
      <c r="L5076" s="340"/>
      <c r="P5076" s="340"/>
      <c r="U5076" s="340"/>
      <c r="V5076" s="340"/>
      <c r="Z5076" s="340"/>
      <c r="AE5076" s="340"/>
      <c r="AI5076" s="340"/>
      <c r="AN5076" s="340"/>
      <c r="AO5076" s="340"/>
      <c r="AS5076" s="340"/>
      <c r="AX5076" s="340"/>
      <c r="BB5076" s="340"/>
      <c r="BD5076" s="339"/>
    </row>
    <row r="5077" spans="7:56" s="338" customFormat="1">
      <c r="G5077" s="340"/>
      <c r="L5077" s="340"/>
      <c r="P5077" s="340"/>
      <c r="U5077" s="340"/>
      <c r="V5077" s="340"/>
      <c r="Z5077" s="340"/>
      <c r="AE5077" s="340"/>
      <c r="AI5077" s="340"/>
      <c r="AN5077" s="340"/>
      <c r="AO5077" s="340"/>
      <c r="AS5077" s="340"/>
      <c r="AX5077" s="340"/>
      <c r="BB5077" s="340"/>
      <c r="BD5077" s="339"/>
    </row>
    <row r="5078" spans="7:56" s="338" customFormat="1">
      <c r="G5078" s="340"/>
      <c r="L5078" s="340"/>
      <c r="P5078" s="340"/>
      <c r="U5078" s="340"/>
      <c r="V5078" s="340"/>
      <c r="Z5078" s="340"/>
      <c r="AE5078" s="340"/>
      <c r="AI5078" s="340"/>
      <c r="AN5078" s="340"/>
      <c r="AO5078" s="340"/>
      <c r="AS5078" s="340"/>
      <c r="AX5078" s="340"/>
      <c r="BB5078" s="340"/>
      <c r="BD5078" s="339"/>
    </row>
    <row r="5079" spans="7:56" s="338" customFormat="1">
      <c r="G5079" s="340"/>
      <c r="L5079" s="340"/>
      <c r="P5079" s="340"/>
      <c r="U5079" s="340"/>
      <c r="V5079" s="340"/>
      <c r="Z5079" s="340"/>
      <c r="AE5079" s="340"/>
      <c r="AI5079" s="340"/>
      <c r="AN5079" s="340"/>
      <c r="AO5079" s="340"/>
      <c r="AS5079" s="340"/>
      <c r="AX5079" s="340"/>
      <c r="BB5079" s="340"/>
      <c r="BD5079" s="339"/>
    </row>
    <row r="5080" spans="7:56" s="338" customFormat="1">
      <c r="G5080" s="340"/>
      <c r="L5080" s="340"/>
      <c r="P5080" s="340"/>
      <c r="U5080" s="340"/>
      <c r="V5080" s="340"/>
      <c r="Z5080" s="340"/>
      <c r="AE5080" s="340"/>
      <c r="AI5080" s="340"/>
      <c r="AN5080" s="340"/>
      <c r="AO5080" s="340"/>
      <c r="AS5080" s="340"/>
      <c r="AX5080" s="340"/>
      <c r="BB5080" s="340"/>
      <c r="BD5080" s="339"/>
    </row>
    <row r="5081" spans="7:56" s="338" customFormat="1">
      <c r="G5081" s="340"/>
      <c r="L5081" s="340"/>
      <c r="P5081" s="340"/>
      <c r="U5081" s="340"/>
      <c r="V5081" s="340"/>
      <c r="Z5081" s="340"/>
      <c r="AE5081" s="340"/>
      <c r="AI5081" s="340"/>
      <c r="AN5081" s="340"/>
      <c r="AO5081" s="340"/>
      <c r="AS5081" s="340"/>
      <c r="AX5081" s="340"/>
      <c r="BB5081" s="340"/>
      <c r="BD5081" s="339"/>
    </row>
    <row r="5082" spans="7:56" s="338" customFormat="1">
      <c r="G5082" s="340"/>
      <c r="L5082" s="340"/>
      <c r="P5082" s="340"/>
      <c r="U5082" s="340"/>
      <c r="V5082" s="340"/>
      <c r="Z5082" s="340"/>
      <c r="AE5082" s="340"/>
      <c r="AI5082" s="340"/>
      <c r="AN5082" s="340"/>
      <c r="AO5082" s="340"/>
      <c r="AS5082" s="340"/>
      <c r="AX5082" s="340"/>
      <c r="BB5082" s="340"/>
      <c r="BD5082" s="339"/>
    </row>
    <row r="5083" spans="7:56" s="338" customFormat="1">
      <c r="G5083" s="340"/>
      <c r="L5083" s="340"/>
      <c r="P5083" s="340"/>
      <c r="U5083" s="340"/>
      <c r="V5083" s="340"/>
      <c r="Z5083" s="340"/>
      <c r="AE5083" s="340"/>
      <c r="AI5083" s="340"/>
      <c r="AN5083" s="340"/>
      <c r="AO5083" s="340"/>
      <c r="AS5083" s="340"/>
      <c r="AX5083" s="340"/>
      <c r="BB5083" s="340"/>
      <c r="BD5083" s="339"/>
    </row>
    <row r="5084" spans="7:56" s="338" customFormat="1">
      <c r="G5084" s="340"/>
      <c r="L5084" s="340"/>
      <c r="P5084" s="340"/>
      <c r="U5084" s="340"/>
      <c r="V5084" s="340"/>
      <c r="Z5084" s="340"/>
      <c r="AE5084" s="340"/>
      <c r="AI5084" s="340"/>
      <c r="AN5084" s="340"/>
      <c r="AO5084" s="340"/>
      <c r="AS5084" s="340"/>
      <c r="AX5084" s="340"/>
      <c r="BB5084" s="340"/>
      <c r="BD5084" s="339"/>
    </row>
    <row r="5085" spans="7:56" s="338" customFormat="1">
      <c r="G5085" s="340"/>
      <c r="L5085" s="340"/>
      <c r="P5085" s="340"/>
      <c r="U5085" s="340"/>
      <c r="V5085" s="340"/>
      <c r="Z5085" s="340"/>
      <c r="AE5085" s="340"/>
      <c r="AI5085" s="340"/>
      <c r="AN5085" s="340"/>
      <c r="AO5085" s="340"/>
      <c r="AS5085" s="340"/>
      <c r="AX5085" s="340"/>
      <c r="BB5085" s="340"/>
      <c r="BD5085" s="339"/>
    </row>
    <row r="5086" spans="7:56" s="338" customFormat="1">
      <c r="G5086" s="340"/>
      <c r="L5086" s="340"/>
      <c r="P5086" s="340"/>
      <c r="U5086" s="340"/>
      <c r="V5086" s="340"/>
      <c r="Z5086" s="340"/>
      <c r="AE5086" s="340"/>
      <c r="AI5086" s="340"/>
      <c r="AN5086" s="340"/>
      <c r="AO5086" s="340"/>
      <c r="AS5086" s="340"/>
      <c r="AX5086" s="340"/>
      <c r="BB5086" s="340"/>
      <c r="BD5086" s="339"/>
    </row>
    <row r="5087" spans="7:56" s="338" customFormat="1">
      <c r="G5087" s="340"/>
      <c r="L5087" s="340"/>
      <c r="P5087" s="340"/>
      <c r="U5087" s="340"/>
      <c r="V5087" s="340"/>
      <c r="Z5087" s="340"/>
      <c r="AE5087" s="340"/>
      <c r="AI5087" s="340"/>
      <c r="AN5087" s="340"/>
      <c r="AO5087" s="340"/>
      <c r="AS5087" s="340"/>
      <c r="AX5087" s="340"/>
      <c r="BB5087" s="340"/>
      <c r="BD5087" s="339"/>
    </row>
    <row r="5088" spans="7:56" s="338" customFormat="1">
      <c r="G5088" s="340"/>
      <c r="L5088" s="340"/>
      <c r="P5088" s="340"/>
      <c r="U5088" s="340"/>
      <c r="V5088" s="340"/>
      <c r="Z5088" s="340"/>
      <c r="AE5088" s="340"/>
      <c r="AI5088" s="340"/>
      <c r="AN5088" s="340"/>
      <c r="AO5088" s="340"/>
      <c r="AS5088" s="340"/>
      <c r="AX5088" s="340"/>
      <c r="BB5088" s="340"/>
      <c r="BD5088" s="339"/>
    </row>
    <row r="5089" spans="7:56" s="338" customFormat="1">
      <c r="G5089" s="340"/>
      <c r="L5089" s="340"/>
      <c r="P5089" s="340"/>
      <c r="U5089" s="340"/>
      <c r="V5089" s="340"/>
      <c r="Z5089" s="340"/>
      <c r="AE5089" s="340"/>
      <c r="AI5089" s="340"/>
      <c r="AN5089" s="340"/>
      <c r="AO5089" s="340"/>
      <c r="AS5089" s="340"/>
      <c r="AX5089" s="340"/>
      <c r="BB5089" s="340"/>
      <c r="BD5089" s="339"/>
    </row>
    <row r="5090" spans="7:56" s="338" customFormat="1">
      <c r="G5090" s="340"/>
      <c r="L5090" s="340"/>
      <c r="P5090" s="340"/>
      <c r="U5090" s="340"/>
      <c r="V5090" s="340"/>
      <c r="Z5090" s="340"/>
      <c r="AE5090" s="340"/>
      <c r="AI5090" s="340"/>
      <c r="AN5090" s="340"/>
      <c r="AO5090" s="340"/>
      <c r="AS5090" s="340"/>
      <c r="AX5090" s="340"/>
      <c r="BB5090" s="340"/>
      <c r="BD5090" s="339"/>
    </row>
    <row r="5091" spans="7:56" s="338" customFormat="1">
      <c r="G5091" s="340"/>
      <c r="L5091" s="340"/>
      <c r="P5091" s="340"/>
      <c r="U5091" s="340"/>
      <c r="V5091" s="340"/>
      <c r="Z5091" s="340"/>
      <c r="AE5091" s="340"/>
      <c r="AI5091" s="340"/>
      <c r="AN5091" s="340"/>
      <c r="AO5091" s="340"/>
      <c r="AS5091" s="340"/>
      <c r="AX5091" s="340"/>
      <c r="BB5091" s="340"/>
      <c r="BD5091" s="339"/>
    </row>
    <row r="5092" spans="7:56" s="338" customFormat="1">
      <c r="G5092" s="340"/>
      <c r="L5092" s="340"/>
      <c r="P5092" s="340"/>
      <c r="U5092" s="340"/>
      <c r="V5092" s="340"/>
      <c r="Z5092" s="340"/>
      <c r="AE5092" s="340"/>
      <c r="AI5092" s="340"/>
      <c r="AN5092" s="340"/>
      <c r="AO5092" s="340"/>
      <c r="AS5092" s="340"/>
      <c r="AX5092" s="340"/>
      <c r="BB5092" s="340"/>
      <c r="BD5092" s="339"/>
    </row>
    <row r="5093" spans="7:56" s="338" customFormat="1">
      <c r="G5093" s="340"/>
      <c r="L5093" s="340"/>
      <c r="P5093" s="340"/>
      <c r="U5093" s="340"/>
      <c r="V5093" s="340"/>
      <c r="Z5093" s="340"/>
      <c r="AE5093" s="340"/>
      <c r="AI5093" s="340"/>
      <c r="AN5093" s="340"/>
      <c r="AO5093" s="340"/>
      <c r="AS5093" s="340"/>
      <c r="AX5093" s="340"/>
      <c r="BB5093" s="340"/>
      <c r="BD5093" s="339"/>
    </row>
    <row r="5094" spans="7:56" s="338" customFormat="1">
      <c r="G5094" s="340"/>
      <c r="L5094" s="340"/>
      <c r="P5094" s="340"/>
      <c r="U5094" s="340"/>
      <c r="V5094" s="340"/>
      <c r="Z5094" s="340"/>
      <c r="AE5094" s="340"/>
      <c r="AI5094" s="340"/>
      <c r="AN5094" s="340"/>
      <c r="AO5094" s="340"/>
      <c r="AS5094" s="340"/>
      <c r="AX5094" s="340"/>
      <c r="BB5094" s="340"/>
      <c r="BD5094" s="339"/>
    </row>
    <row r="5095" spans="7:56" s="338" customFormat="1">
      <c r="G5095" s="340"/>
      <c r="L5095" s="340"/>
      <c r="P5095" s="340"/>
      <c r="U5095" s="340"/>
      <c r="V5095" s="340"/>
      <c r="Z5095" s="340"/>
      <c r="AE5095" s="340"/>
      <c r="AI5095" s="340"/>
      <c r="AN5095" s="340"/>
      <c r="AO5095" s="340"/>
      <c r="AS5095" s="340"/>
      <c r="AX5095" s="340"/>
      <c r="BB5095" s="340"/>
      <c r="BD5095" s="339"/>
    </row>
    <row r="5096" spans="7:56" s="338" customFormat="1">
      <c r="G5096" s="340"/>
      <c r="L5096" s="340"/>
      <c r="P5096" s="340"/>
      <c r="U5096" s="340"/>
      <c r="V5096" s="340"/>
      <c r="Z5096" s="340"/>
      <c r="AE5096" s="340"/>
      <c r="AI5096" s="340"/>
      <c r="AN5096" s="340"/>
      <c r="AO5096" s="340"/>
      <c r="AS5096" s="340"/>
      <c r="AX5096" s="340"/>
      <c r="BB5096" s="340"/>
      <c r="BD5096" s="339"/>
    </row>
    <row r="5097" spans="7:56" s="338" customFormat="1">
      <c r="G5097" s="340"/>
      <c r="L5097" s="340"/>
      <c r="P5097" s="340"/>
      <c r="U5097" s="340"/>
      <c r="V5097" s="340"/>
      <c r="Z5097" s="340"/>
      <c r="AE5097" s="340"/>
      <c r="AI5097" s="340"/>
      <c r="AN5097" s="340"/>
      <c r="AO5097" s="340"/>
      <c r="AS5097" s="340"/>
      <c r="AX5097" s="340"/>
      <c r="BB5097" s="340"/>
      <c r="BD5097" s="339"/>
    </row>
    <row r="5098" spans="7:56" s="338" customFormat="1">
      <c r="G5098" s="340"/>
      <c r="L5098" s="340"/>
      <c r="P5098" s="340"/>
      <c r="U5098" s="340"/>
      <c r="V5098" s="340"/>
      <c r="Z5098" s="340"/>
      <c r="AE5098" s="340"/>
      <c r="AI5098" s="340"/>
      <c r="AN5098" s="340"/>
      <c r="AO5098" s="340"/>
      <c r="AS5098" s="340"/>
      <c r="AX5098" s="340"/>
      <c r="BB5098" s="340"/>
      <c r="BD5098" s="339"/>
    </row>
    <row r="5099" spans="7:56" s="338" customFormat="1">
      <c r="G5099" s="340"/>
      <c r="L5099" s="340"/>
      <c r="P5099" s="340"/>
      <c r="U5099" s="340"/>
      <c r="V5099" s="340"/>
      <c r="Z5099" s="340"/>
      <c r="AE5099" s="340"/>
      <c r="AI5099" s="340"/>
      <c r="AN5099" s="340"/>
      <c r="AO5099" s="340"/>
      <c r="AS5099" s="340"/>
      <c r="AX5099" s="340"/>
      <c r="BB5099" s="340"/>
      <c r="BD5099" s="339"/>
    </row>
    <row r="5100" spans="7:56" s="338" customFormat="1">
      <c r="G5100" s="340"/>
      <c r="L5100" s="340"/>
      <c r="P5100" s="340"/>
      <c r="U5100" s="340"/>
      <c r="V5100" s="340"/>
      <c r="Z5100" s="340"/>
      <c r="AE5100" s="340"/>
      <c r="AI5100" s="340"/>
      <c r="AN5100" s="340"/>
      <c r="AO5100" s="340"/>
      <c r="AS5100" s="340"/>
      <c r="AX5100" s="340"/>
      <c r="BB5100" s="340"/>
      <c r="BD5100" s="339"/>
    </row>
    <row r="5101" spans="7:56" s="338" customFormat="1">
      <c r="G5101" s="340"/>
      <c r="L5101" s="340"/>
      <c r="P5101" s="340"/>
      <c r="U5101" s="340"/>
      <c r="V5101" s="340"/>
      <c r="Z5101" s="340"/>
      <c r="AE5101" s="340"/>
      <c r="AI5101" s="340"/>
      <c r="AN5101" s="340"/>
      <c r="AO5101" s="340"/>
      <c r="AS5101" s="340"/>
      <c r="AX5101" s="340"/>
      <c r="BB5101" s="340"/>
      <c r="BD5101" s="339"/>
    </row>
    <row r="5102" spans="7:56" s="338" customFormat="1">
      <c r="G5102" s="340"/>
      <c r="L5102" s="340"/>
      <c r="P5102" s="340"/>
      <c r="U5102" s="340"/>
      <c r="V5102" s="340"/>
      <c r="Z5102" s="340"/>
      <c r="AE5102" s="340"/>
      <c r="AI5102" s="340"/>
      <c r="AN5102" s="340"/>
      <c r="AO5102" s="340"/>
      <c r="AS5102" s="340"/>
      <c r="AX5102" s="340"/>
      <c r="BB5102" s="340"/>
      <c r="BD5102" s="339"/>
    </row>
    <row r="5103" spans="7:56" s="338" customFormat="1">
      <c r="G5103" s="340"/>
      <c r="L5103" s="340"/>
      <c r="P5103" s="340"/>
      <c r="U5103" s="340"/>
      <c r="V5103" s="340"/>
      <c r="Z5103" s="340"/>
      <c r="AE5103" s="340"/>
      <c r="AI5103" s="340"/>
      <c r="AN5103" s="340"/>
      <c r="AO5103" s="340"/>
      <c r="AS5103" s="340"/>
      <c r="AX5103" s="340"/>
      <c r="BB5103" s="340"/>
      <c r="BD5103" s="339"/>
    </row>
    <row r="5104" spans="7:56" s="338" customFormat="1">
      <c r="G5104" s="340"/>
      <c r="L5104" s="340"/>
      <c r="P5104" s="340"/>
      <c r="U5104" s="340"/>
      <c r="V5104" s="340"/>
      <c r="Z5104" s="340"/>
      <c r="AE5104" s="340"/>
      <c r="AI5104" s="340"/>
      <c r="AN5104" s="340"/>
      <c r="AO5104" s="340"/>
      <c r="AS5104" s="340"/>
      <c r="AX5104" s="340"/>
      <c r="BB5104" s="340"/>
      <c r="BD5104" s="339"/>
    </row>
    <row r="5105" spans="7:56" s="338" customFormat="1">
      <c r="G5105" s="340"/>
      <c r="L5105" s="340"/>
      <c r="P5105" s="340"/>
      <c r="U5105" s="340"/>
      <c r="V5105" s="340"/>
      <c r="Z5105" s="340"/>
      <c r="AE5105" s="340"/>
      <c r="AI5105" s="340"/>
      <c r="AN5105" s="340"/>
      <c r="AO5105" s="340"/>
      <c r="AS5105" s="340"/>
      <c r="AX5105" s="340"/>
      <c r="BB5105" s="340"/>
      <c r="BD5105" s="339"/>
    </row>
    <row r="5106" spans="7:56" s="338" customFormat="1">
      <c r="G5106" s="340"/>
      <c r="L5106" s="340"/>
      <c r="P5106" s="340"/>
      <c r="U5106" s="340"/>
      <c r="V5106" s="340"/>
      <c r="Z5106" s="340"/>
      <c r="AE5106" s="340"/>
      <c r="AI5106" s="340"/>
      <c r="AN5106" s="340"/>
      <c r="AO5106" s="340"/>
      <c r="AS5106" s="340"/>
      <c r="AX5106" s="340"/>
      <c r="BB5106" s="340"/>
      <c r="BD5106" s="339"/>
    </row>
    <row r="5107" spans="7:56" s="338" customFormat="1">
      <c r="G5107" s="340"/>
      <c r="L5107" s="340"/>
      <c r="P5107" s="340"/>
      <c r="U5107" s="340"/>
      <c r="V5107" s="340"/>
      <c r="Z5107" s="340"/>
      <c r="AE5107" s="340"/>
      <c r="AI5107" s="340"/>
      <c r="AN5107" s="340"/>
      <c r="AO5107" s="340"/>
      <c r="AS5107" s="340"/>
      <c r="AX5107" s="340"/>
      <c r="BB5107" s="340"/>
      <c r="BD5107" s="339"/>
    </row>
    <row r="5108" spans="7:56" s="338" customFormat="1">
      <c r="G5108" s="340"/>
      <c r="L5108" s="340"/>
      <c r="P5108" s="340"/>
      <c r="U5108" s="340"/>
      <c r="V5108" s="340"/>
      <c r="Z5108" s="340"/>
      <c r="AE5108" s="340"/>
      <c r="AI5108" s="340"/>
      <c r="AN5108" s="340"/>
      <c r="AO5108" s="340"/>
      <c r="AS5108" s="340"/>
      <c r="AX5108" s="340"/>
      <c r="BB5108" s="340"/>
      <c r="BD5108" s="339"/>
    </row>
    <row r="5109" spans="7:56" s="338" customFormat="1">
      <c r="G5109" s="340"/>
      <c r="L5109" s="340"/>
      <c r="P5109" s="340"/>
      <c r="U5109" s="340"/>
      <c r="V5109" s="340"/>
      <c r="Z5109" s="340"/>
      <c r="AE5109" s="340"/>
      <c r="AI5109" s="340"/>
      <c r="AN5109" s="340"/>
      <c r="AO5109" s="340"/>
      <c r="AS5109" s="340"/>
      <c r="AX5109" s="340"/>
      <c r="BB5109" s="340"/>
      <c r="BD5109" s="339"/>
    </row>
    <row r="5110" spans="7:56" s="338" customFormat="1">
      <c r="G5110" s="340"/>
      <c r="L5110" s="340"/>
      <c r="P5110" s="340"/>
      <c r="U5110" s="340"/>
      <c r="V5110" s="340"/>
      <c r="Z5110" s="340"/>
      <c r="AE5110" s="340"/>
      <c r="AI5110" s="340"/>
      <c r="AN5110" s="340"/>
      <c r="AO5110" s="340"/>
      <c r="AS5110" s="340"/>
      <c r="AX5110" s="340"/>
      <c r="BB5110" s="340"/>
      <c r="BD5110" s="339"/>
    </row>
    <row r="5111" spans="7:56" s="338" customFormat="1">
      <c r="G5111" s="340"/>
      <c r="L5111" s="340"/>
      <c r="P5111" s="340"/>
      <c r="U5111" s="340"/>
      <c r="V5111" s="340"/>
      <c r="Z5111" s="340"/>
      <c r="AE5111" s="340"/>
      <c r="AI5111" s="340"/>
      <c r="AN5111" s="340"/>
      <c r="AO5111" s="340"/>
      <c r="AS5111" s="340"/>
      <c r="AX5111" s="340"/>
      <c r="BB5111" s="340"/>
      <c r="BD5111" s="339"/>
    </row>
    <row r="5112" spans="7:56" s="338" customFormat="1">
      <c r="G5112" s="340"/>
      <c r="L5112" s="340"/>
      <c r="P5112" s="340"/>
      <c r="U5112" s="340"/>
      <c r="V5112" s="340"/>
      <c r="Z5112" s="340"/>
      <c r="AE5112" s="340"/>
      <c r="AI5112" s="340"/>
      <c r="AN5112" s="340"/>
      <c r="AO5112" s="340"/>
      <c r="AS5112" s="340"/>
      <c r="AX5112" s="340"/>
      <c r="BB5112" s="340"/>
      <c r="BD5112" s="339"/>
    </row>
    <row r="5113" spans="7:56" s="338" customFormat="1">
      <c r="G5113" s="340"/>
      <c r="L5113" s="340"/>
      <c r="P5113" s="340"/>
      <c r="U5113" s="340"/>
      <c r="V5113" s="340"/>
      <c r="Z5113" s="340"/>
      <c r="AE5113" s="340"/>
      <c r="AI5113" s="340"/>
      <c r="AN5113" s="340"/>
      <c r="AO5113" s="340"/>
      <c r="AS5113" s="340"/>
      <c r="AX5113" s="340"/>
      <c r="BB5113" s="340"/>
      <c r="BD5113" s="339"/>
    </row>
    <row r="5114" spans="7:56" s="338" customFormat="1">
      <c r="G5114" s="340"/>
      <c r="L5114" s="340"/>
      <c r="P5114" s="340"/>
      <c r="U5114" s="340"/>
      <c r="V5114" s="340"/>
      <c r="Z5114" s="340"/>
      <c r="AE5114" s="340"/>
      <c r="AI5114" s="340"/>
      <c r="AN5114" s="340"/>
      <c r="AO5114" s="340"/>
      <c r="AS5114" s="340"/>
      <c r="AX5114" s="340"/>
      <c r="BB5114" s="340"/>
      <c r="BD5114" s="339"/>
    </row>
    <row r="5115" spans="7:56" s="338" customFormat="1">
      <c r="G5115" s="340"/>
      <c r="L5115" s="340"/>
      <c r="P5115" s="340"/>
      <c r="U5115" s="340"/>
      <c r="V5115" s="340"/>
      <c r="Z5115" s="340"/>
      <c r="AE5115" s="340"/>
      <c r="AI5115" s="340"/>
      <c r="AN5115" s="340"/>
      <c r="AO5115" s="340"/>
      <c r="AS5115" s="340"/>
      <c r="AX5115" s="340"/>
      <c r="BB5115" s="340"/>
      <c r="BD5115" s="339"/>
    </row>
    <row r="5116" spans="7:56" s="338" customFormat="1">
      <c r="G5116" s="340"/>
      <c r="L5116" s="340"/>
      <c r="P5116" s="340"/>
      <c r="U5116" s="340"/>
      <c r="V5116" s="340"/>
      <c r="Z5116" s="340"/>
      <c r="AE5116" s="340"/>
      <c r="AI5116" s="340"/>
      <c r="AN5116" s="340"/>
      <c r="AO5116" s="340"/>
      <c r="AS5116" s="340"/>
      <c r="AX5116" s="340"/>
      <c r="BB5116" s="340"/>
      <c r="BD5116" s="339"/>
    </row>
    <row r="5117" spans="7:56" s="338" customFormat="1">
      <c r="G5117" s="340"/>
      <c r="L5117" s="340"/>
      <c r="P5117" s="340"/>
      <c r="U5117" s="340"/>
      <c r="V5117" s="340"/>
      <c r="Z5117" s="340"/>
      <c r="AE5117" s="340"/>
      <c r="AI5117" s="340"/>
      <c r="AN5117" s="340"/>
      <c r="AO5117" s="340"/>
      <c r="AS5117" s="340"/>
      <c r="AX5117" s="340"/>
      <c r="BB5117" s="340"/>
      <c r="BD5117" s="339"/>
    </row>
    <row r="5118" spans="7:56" s="338" customFormat="1">
      <c r="G5118" s="340"/>
      <c r="L5118" s="340"/>
      <c r="P5118" s="340"/>
      <c r="U5118" s="340"/>
      <c r="V5118" s="340"/>
      <c r="Z5118" s="340"/>
      <c r="AE5118" s="340"/>
      <c r="AI5118" s="340"/>
      <c r="AN5118" s="340"/>
      <c r="AO5118" s="340"/>
      <c r="AS5118" s="340"/>
      <c r="AX5118" s="340"/>
      <c r="BB5118" s="340"/>
      <c r="BD5118" s="339"/>
    </row>
    <row r="5119" spans="7:56" s="338" customFormat="1">
      <c r="G5119" s="340"/>
      <c r="L5119" s="340"/>
      <c r="P5119" s="340"/>
      <c r="U5119" s="340"/>
      <c r="V5119" s="340"/>
      <c r="Z5119" s="340"/>
      <c r="AE5119" s="340"/>
      <c r="AI5119" s="340"/>
      <c r="AN5119" s="340"/>
      <c r="AO5119" s="340"/>
      <c r="AS5119" s="340"/>
      <c r="AX5119" s="340"/>
      <c r="BB5119" s="340"/>
      <c r="BD5119" s="339"/>
    </row>
    <row r="5120" spans="7:56" s="338" customFormat="1">
      <c r="G5120" s="340"/>
      <c r="L5120" s="340"/>
      <c r="P5120" s="340"/>
      <c r="U5120" s="340"/>
      <c r="V5120" s="340"/>
      <c r="Z5120" s="340"/>
      <c r="AE5120" s="340"/>
      <c r="AI5120" s="340"/>
      <c r="AN5120" s="340"/>
      <c r="AO5120" s="340"/>
      <c r="AS5120" s="340"/>
      <c r="AX5120" s="340"/>
      <c r="BB5120" s="340"/>
      <c r="BD5120" s="339"/>
    </row>
    <row r="5121" spans="7:56" s="338" customFormat="1">
      <c r="G5121" s="340"/>
      <c r="L5121" s="340"/>
      <c r="P5121" s="340"/>
      <c r="U5121" s="340"/>
      <c r="V5121" s="340"/>
      <c r="Z5121" s="340"/>
      <c r="AE5121" s="340"/>
      <c r="AI5121" s="340"/>
      <c r="AN5121" s="340"/>
      <c r="AO5121" s="340"/>
      <c r="AS5121" s="340"/>
      <c r="AX5121" s="340"/>
      <c r="BB5121" s="340"/>
      <c r="BD5121" s="339"/>
    </row>
    <row r="5122" spans="7:56" s="338" customFormat="1">
      <c r="G5122" s="340"/>
      <c r="L5122" s="340"/>
      <c r="P5122" s="340"/>
      <c r="U5122" s="340"/>
      <c r="V5122" s="340"/>
      <c r="Z5122" s="340"/>
      <c r="AE5122" s="340"/>
      <c r="AI5122" s="340"/>
      <c r="AN5122" s="340"/>
      <c r="AO5122" s="340"/>
      <c r="AS5122" s="340"/>
      <c r="AX5122" s="340"/>
      <c r="BB5122" s="340"/>
      <c r="BD5122" s="339"/>
    </row>
    <row r="5123" spans="7:56" s="338" customFormat="1">
      <c r="G5123" s="340"/>
      <c r="L5123" s="340"/>
      <c r="P5123" s="340"/>
      <c r="U5123" s="340"/>
      <c r="V5123" s="340"/>
      <c r="Z5123" s="340"/>
      <c r="AE5123" s="340"/>
      <c r="AI5123" s="340"/>
      <c r="AN5123" s="340"/>
      <c r="AO5123" s="340"/>
      <c r="AS5123" s="340"/>
      <c r="AX5123" s="340"/>
      <c r="BB5123" s="340"/>
      <c r="BD5123" s="339"/>
    </row>
    <row r="5124" spans="7:56" s="338" customFormat="1">
      <c r="G5124" s="340"/>
      <c r="L5124" s="340"/>
      <c r="P5124" s="340"/>
      <c r="U5124" s="340"/>
      <c r="V5124" s="340"/>
      <c r="Z5124" s="340"/>
      <c r="AE5124" s="340"/>
      <c r="AI5124" s="340"/>
      <c r="AN5124" s="340"/>
      <c r="AO5124" s="340"/>
      <c r="AS5124" s="340"/>
      <c r="AX5124" s="340"/>
      <c r="BB5124" s="340"/>
      <c r="BD5124" s="339"/>
    </row>
    <row r="5125" spans="7:56" s="338" customFormat="1">
      <c r="G5125" s="340"/>
      <c r="L5125" s="340"/>
      <c r="P5125" s="340"/>
      <c r="U5125" s="340"/>
      <c r="V5125" s="340"/>
      <c r="Z5125" s="340"/>
      <c r="AE5125" s="340"/>
      <c r="AI5125" s="340"/>
      <c r="AN5125" s="340"/>
      <c r="AO5125" s="340"/>
      <c r="AS5125" s="340"/>
      <c r="AX5125" s="340"/>
      <c r="BB5125" s="340"/>
      <c r="BD5125" s="339"/>
    </row>
    <row r="5126" spans="7:56" s="338" customFormat="1">
      <c r="G5126" s="340"/>
      <c r="L5126" s="340"/>
      <c r="P5126" s="340"/>
      <c r="U5126" s="340"/>
      <c r="V5126" s="340"/>
      <c r="Z5126" s="340"/>
      <c r="AE5126" s="340"/>
      <c r="AI5126" s="340"/>
      <c r="AN5126" s="340"/>
      <c r="AO5126" s="340"/>
      <c r="AS5126" s="340"/>
      <c r="AX5126" s="340"/>
      <c r="BB5126" s="340"/>
      <c r="BD5126" s="339"/>
    </row>
    <row r="5127" spans="7:56" s="338" customFormat="1">
      <c r="G5127" s="340"/>
      <c r="L5127" s="340"/>
      <c r="P5127" s="340"/>
      <c r="U5127" s="340"/>
      <c r="V5127" s="340"/>
      <c r="Z5127" s="340"/>
      <c r="AE5127" s="340"/>
      <c r="AI5127" s="340"/>
      <c r="AN5127" s="340"/>
      <c r="AO5127" s="340"/>
      <c r="AS5127" s="340"/>
      <c r="AX5127" s="340"/>
      <c r="BB5127" s="340"/>
      <c r="BD5127" s="339"/>
    </row>
    <row r="5128" spans="7:56" s="338" customFormat="1">
      <c r="G5128" s="340"/>
      <c r="L5128" s="340"/>
      <c r="P5128" s="340"/>
      <c r="U5128" s="340"/>
      <c r="V5128" s="340"/>
      <c r="Z5128" s="340"/>
      <c r="AE5128" s="340"/>
      <c r="AI5128" s="340"/>
      <c r="AN5128" s="340"/>
      <c r="AO5128" s="340"/>
      <c r="AS5128" s="340"/>
      <c r="AX5128" s="340"/>
      <c r="BB5128" s="340"/>
      <c r="BD5128" s="339"/>
    </row>
    <row r="5129" spans="7:56" s="338" customFormat="1">
      <c r="G5129" s="340"/>
      <c r="L5129" s="340"/>
      <c r="P5129" s="340"/>
      <c r="U5129" s="340"/>
      <c r="V5129" s="340"/>
      <c r="Z5129" s="340"/>
      <c r="AE5129" s="340"/>
      <c r="AI5129" s="340"/>
      <c r="AN5129" s="340"/>
      <c r="AO5129" s="340"/>
      <c r="AS5129" s="340"/>
      <c r="AX5129" s="340"/>
      <c r="BB5129" s="340"/>
      <c r="BD5129" s="339"/>
    </row>
    <row r="5130" spans="7:56" s="338" customFormat="1">
      <c r="G5130" s="340"/>
      <c r="L5130" s="340"/>
      <c r="P5130" s="340"/>
      <c r="U5130" s="340"/>
      <c r="V5130" s="340"/>
      <c r="Z5130" s="340"/>
      <c r="AE5130" s="340"/>
      <c r="AI5130" s="340"/>
      <c r="AN5130" s="340"/>
      <c r="AO5130" s="340"/>
      <c r="AS5130" s="340"/>
      <c r="AX5130" s="340"/>
      <c r="BB5130" s="340"/>
      <c r="BD5130" s="339"/>
    </row>
    <row r="5131" spans="7:56" s="338" customFormat="1">
      <c r="G5131" s="340"/>
      <c r="L5131" s="340"/>
      <c r="P5131" s="340"/>
      <c r="U5131" s="340"/>
      <c r="V5131" s="340"/>
      <c r="Z5131" s="340"/>
      <c r="AE5131" s="340"/>
      <c r="AI5131" s="340"/>
      <c r="AN5131" s="340"/>
      <c r="AO5131" s="340"/>
      <c r="AS5131" s="340"/>
      <c r="AX5131" s="340"/>
      <c r="BB5131" s="340"/>
      <c r="BD5131" s="339"/>
    </row>
    <row r="5132" spans="7:56" s="338" customFormat="1">
      <c r="G5132" s="340"/>
      <c r="L5132" s="340"/>
      <c r="P5132" s="340"/>
      <c r="U5132" s="340"/>
      <c r="V5132" s="340"/>
      <c r="Z5132" s="340"/>
      <c r="AE5132" s="340"/>
      <c r="AI5132" s="340"/>
      <c r="AN5132" s="340"/>
      <c r="AO5132" s="340"/>
      <c r="AS5132" s="340"/>
      <c r="AX5132" s="340"/>
      <c r="BB5132" s="340"/>
      <c r="BD5132" s="339"/>
    </row>
    <row r="5133" spans="7:56" s="338" customFormat="1">
      <c r="G5133" s="340"/>
      <c r="L5133" s="340"/>
      <c r="P5133" s="340"/>
      <c r="U5133" s="340"/>
      <c r="V5133" s="340"/>
      <c r="Z5133" s="340"/>
      <c r="AE5133" s="340"/>
      <c r="AI5133" s="340"/>
      <c r="AN5133" s="340"/>
      <c r="AO5133" s="340"/>
      <c r="AS5133" s="340"/>
      <c r="AX5133" s="340"/>
      <c r="BB5133" s="340"/>
      <c r="BD5133" s="339"/>
    </row>
    <row r="5134" spans="7:56" s="338" customFormat="1">
      <c r="G5134" s="340"/>
      <c r="L5134" s="340"/>
      <c r="P5134" s="340"/>
      <c r="U5134" s="340"/>
      <c r="V5134" s="340"/>
      <c r="Z5134" s="340"/>
      <c r="AE5134" s="340"/>
      <c r="AI5134" s="340"/>
      <c r="AN5134" s="340"/>
      <c r="AO5134" s="340"/>
      <c r="AS5134" s="340"/>
      <c r="AX5134" s="340"/>
      <c r="BB5134" s="340"/>
      <c r="BD5134" s="339"/>
    </row>
    <row r="5135" spans="7:56" s="338" customFormat="1">
      <c r="G5135" s="340"/>
      <c r="L5135" s="340"/>
      <c r="P5135" s="340"/>
      <c r="U5135" s="340"/>
      <c r="V5135" s="340"/>
      <c r="Z5135" s="340"/>
      <c r="AE5135" s="340"/>
      <c r="AI5135" s="340"/>
      <c r="AN5135" s="340"/>
      <c r="AO5135" s="340"/>
      <c r="AS5135" s="340"/>
      <c r="AX5135" s="340"/>
      <c r="BB5135" s="340"/>
      <c r="BD5135" s="339"/>
    </row>
    <row r="5136" spans="7:56" s="338" customFormat="1">
      <c r="G5136" s="340"/>
      <c r="L5136" s="340"/>
      <c r="P5136" s="340"/>
      <c r="U5136" s="340"/>
      <c r="V5136" s="340"/>
      <c r="Z5136" s="340"/>
      <c r="AE5136" s="340"/>
      <c r="AI5136" s="340"/>
      <c r="AN5136" s="340"/>
      <c r="AO5136" s="340"/>
      <c r="AS5136" s="340"/>
      <c r="AX5136" s="340"/>
      <c r="BB5136" s="340"/>
      <c r="BD5136" s="339"/>
    </row>
    <row r="5137" spans="7:56" s="338" customFormat="1">
      <c r="G5137" s="340"/>
      <c r="L5137" s="340"/>
      <c r="P5137" s="340"/>
      <c r="U5137" s="340"/>
      <c r="V5137" s="340"/>
      <c r="Z5137" s="340"/>
      <c r="AE5137" s="340"/>
      <c r="AI5137" s="340"/>
      <c r="AN5137" s="340"/>
      <c r="AO5137" s="340"/>
      <c r="AS5137" s="340"/>
      <c r="AX5137" s="340"/>
      <c r="BB5137" s="340"/>
      <c r="BD5137" s="339"/>
    </row>
    <row r="5138" spans="7:56" s="338" customFormat="1">
      <c r="G5138" s="340"/>
      <c r="L5138" s="340"/>
      <c r="P5138" s="340"/>
      <c r="U5138" s="340"/>
      <c r="V5138" s="340"/>
      <c r="Z5138" s="340"/>
      <c r="AE5138" s="340"/>
      <c r="AI5138" s="340"/>
      <c r="AN5138" s="340"/>
      <c r="AO5138" s="340"/>
      <c r="AS5138" s="340"/>
      <c r="AX5138" s="340"/>
      <c r="BB5138" s="340"/>
      <c r="BD5138" s="339"/>
    </row>
    <row r="5139" spans="7:56" s="338" customFormat="1">
      <c r="G5139" s="340"/>
      <c r="L5139" s="340"/>
      <c r="P5139" s="340"/>
      <c r="U5139" s="340"/>
      <c r="V5139" s="340"/>
      <c r="Z5139" s="340"/>
      <c r="AE5139" s="340"/>
      <c r="AI5139" s="340"/>
      <c r="AN5139" s="340"/>
      <c r="AO5139" s="340"/>
      <c r="AS5139" s="340"/>
      <c r="AX5139" s="340"/>
      <c r="BB5139" s="340"/>
      <c r="BD5139" s="339"/>
    </row>
    <row r="5140" spans="7:56" s="338" customFormat="1">
      <c r="G5140" s="340"/>
      <c r="L5140" s="340"/>
      <c r="P5140" s="340"/>
      <c r="U5140" s="340"/>
      <c r="V5140" s="340"/>
      <c r="Z5140" s="340"/>
      <c r="AE5140" s="340"/>
      <c r="AI5140" s="340"/>
      <c r="AN5140" s="340"/>
      <c r="AO5140" s="340"/>
      <c r="AS5140" s="340"/>
      <c r="AX5140" s="340"/>
      <c r="BB5140" s="340"/>
      <c r="BD5140" s="339"/>
    </row>
    <row r="5141" spans="7:56" s="338" customFormat="1">
      <c r="G5141" s="340"/>
      <c r="L5141" s="340"/>
      <c r="P5141" s="340"/>
      <c r="U5141" s="340"/>
      <c r="V5141" s="340"/>
      <c r="Z5141" s="340"/>
      <c r="AE5141" s="340"/>
      <c r="AI5141" s="340"/>
      <c r="AN5141" s="340"/>
      <c r="AO5141" s="340"/>
      <c r="AS5141" s="340"/>
      <c r="AX5141" s="340"/>
      <c r="BB5141" s="340"/>
      <c r="BD5141" s="339"/>
    </row>
    <row r="5142" spans="7:56" s="338" customFormat="1">
      <c r="G5142" s="340"/>
      <c r="L5142" s="340"/>
      <c r="P5142" s="340"/>
      <c r="U5142" s="340"/>
      <c r="V5142" s="340"/>
      <c r="Z5142" s="340"/>
      <c r="AE5142" s="340"/>
      <c r="AI5142" s="340"/>
      <c r="AN5142" s="340"/>
      <c r="AO5142" s="340"/>
      <c r="AS5142" s="340"/>
      <c r="AX5142" s="340"/>
      <c r="BB5142" s="340"/>
      <c r="BD5142" s="339"/>
    </row>
    <row r="5143" spans="7:56" s="338" customFormat="1">
      <c r="G5143" s="340"/>
      <c r="L5143" s="340"/>
      <c r="P5143" s="340"/>
      <c r="U5143" s="340"/>
      <c r="V5143" s="340"/>
      <c r="Z5143" s="340"/>
      <c r="AE5143" s="340"/>
      <c r="AI5143" s="340"/>
      <c r="AN5143" s="340"/>
      <c r="AO5143" s="340"/>
      <c r="AS5143" s="340"/>
      <c r="AX5143" s="340"/>
      <c r="BB5143" s="340"/>
      <c r="BD5143" s="339"/>
    </row>
    <row r="5144" spans="7:56" s="338" customFormat="1">
      <c r="G5144" s="340"/>
      <c r="L5144" s="340"/>
      <c r="P5144" s="340"/>
      <c r="U5144" s="340"/>
      <c r="V5144" s="340"/>
      <c r="Z5144" s="340"/>
      <c r="AE5144" s="340"/>
      <c r="AI5144" s="340"/>
      <c r="AN5144" s="340"/>
      <c r="AO5144" s="340"/>
      <c r="AS5144" s="340"/>
      <c r="AX5144" s="340"/>
      <c r="BB5144" s="340"/>
      <c r="BD5144" s="339"/>
    </row>
    <row r="5145" spans="7:56" s="338" customFormat="1">
      <c r="G5145" s="340"/>
      <c r="L5145" s="340"/>
      <c r="P5145" s="340"/>
      <c r="U5145" s="340"/>
      <c r="V5145" s="340"/>
      <c r="Z5145" s="340"/>
      <c r="AE5145" s="340"/>
      <c r="AI5145" s="340"/>
      <c r="AN5145" s="340"/>
      <c r="AO5145" s="340"/>
      <c r="AS5145" s="340"/>
      <c r="AX5145" s="340"/>
      <c r="BB5145" s="340"/>
      <c r="BD5145" s="339"/>
    </row>
    <row r="5146" spans="7:56" s="338" customFormat="1">
      <c r="G5146" s="340"/>
      <c r="L5146" s="340"/>
      <c r="P5146" s="340"/>
      <c r="U5146" s="340"/>
      <c r="V5146" s="340"/>
      <c r="Z5146" s="340"/>
      <c r="AE5146" s="340"/>
      <c r="AI5146" s="340"/>
      <c r="AN5146" s="340"/>
      <c r="AO5146" s="340"/>
      <c r="AS5146" s="340"/>
      <c r="AX5146" s="340"/>
      <c r="BB5146" s="340"/>
      <c r="BD5146" s="339"/>
    </row>
    <row r="5147" spans="7:56" s="338" customFormat="1">
      <c r="G5147" s="340"/>
      <c r="L5147" s="340"/>
      <c r="P5147" s="340"/>
      <c r="U5147" s="340"/>
      <c r="V5147" s="340"/>
      <c r="Z5147" s="340"/>
      <c r="AE5147" s="340"/>
      <c r="AI5147" s="340"/>
      <c r="AN5147" s="340"/>
      <c r="AO5147" s="340"/>
      <c r="AS5147" s="340"/>
      <c r="AX5147" s="340"/>
      <c r="BB5147" s="340"/>
      <c r="BD5147" s="339"/>
    </row>
    <row r="5148" spans="7:56" s="338" customFormat="1">
      <c r="G5148" s="340"/>
      <c r="L5148" s="340"/>
      <c r="P5148" s="340"/>
      <c r="U5148" s="340"/>
      <c r="V5148" s="340"/>
      <c r="Z5148" s="340"/>
      <c r="AE5148" s="340"/>
      <c r="AI5148" s="340"/>
      <c r="AN5148" s="340"/>
      <c r="AO5148" s="340"/>
      <c r="AS5148" s="340"/>
      <c r="AX5148" s="340"/>
      <c r="BB5148" s="340"/>
      <c r="BD5148" s="339"/>
    </row>
    <row r="5149" spans="7:56" s="338" customFormat="1">
      <c r="G5149" s="340"/>
      <c r="L5149" s="340"/>
      <c r="P5149" s="340"/>
      <c r="U5149" s="340"/>
      <c r="V5149" s="340"/>
      <c r="Z5149" s="340"/>
      <c r="AE5149" s="340"/>
      <c r="AI5149" s="340"/>
      <c r="AN5149" s="340"/>
      <c r="AO5149" s="340"/>
      <c r="AS5149" s="340"/>
      <c r="AX5149" s="340"/>
      <c r="BB5149" s="340"/>
      <c r="BD5149" s="339"/>
    </row>
    <row r="5150" spans="7:56" s="338" customFormat="1">
      <c r="G5150" s="340"/>
      <c r="L5150" s="340"/>
      <c r="P5150" s="340"/>
      <c r="U5150" s="340"/>
      <c r="V5150" s="340"/>
      <c r="Z5150" s="340"/>
      <c r="AE5150" s="340"/>
      <c r="AI5150" s="340"/>
      <c r="AN5150" s="340"/>
      <c r="AO5150" s="340"/>
      <c r="AS5150" s="340"/>
      <c r="AX5150" s="340"/>
      <c r="BB5150" s="340"/>
      <c r="BD5150" s="339"/>
    </row>
    <row r="5151" spans="7:56" s="338" customFormat="1">
      <c r="G5151" s="340"/>
      <c r="L5151" s="340"/>
      <c r="P5151" s="340"/>
      <c r="U5151" s="340"/>
      <c r="V5151" s="340"/>
      <c r="Z5151" s="340"/>
      <c r="AE5151" s="340"/>
      <c r="AI5151" s="340"/>
      <c r="AN5151" s="340"/>
      <c r="AO5151" s="340"/>
      <c r="AS5151" s="340"/>
      <c r="AX5151" s="340"/>
      <c r="BB5151" s="340"/>
      <c r="BD5151" s="339"/>
    </row>
    <row r="5152" spans="7:56" s="338" customFormat="1">
      <c r="G5152" s="340"/>
      <c r="L5152" s="340"/>
      <c r="P5152" s="340"/>
      <c r="U5152" s="340"/>
      <c r="V5152" s="340"/>
      <c r="Z5152" s="340"/>
      <c r="AE5152" s="340"/>
      <c r="AI5152" s="340"/>
      <c r="AN5152" s="340"/>
      <c r="AO5152" s="340"/>
      <c r="AS5152" s="340"/>
      <c r="AX5152" s="340"/>
      <c r="BB5152" s="340"/>
      <c r="BD5152" s="339"/>
    </row>
    <row r="5153" spans="7:56" s="338" customFormat="1">
      <c r="G5153" s="340"/>
      <c r="L5153" s="340"/>
      <c r="P5153" s="340"/>
      <c r="U5153" s="340"/>
      <c r="V5153" s="340"/>
      <c r="Z5153" s="340"/>
      <c r="AE5153" s="340"/>
      <c r="AI5153" s="340"/>
      <c r="AN5153" s="340"/>
      <c r="AO5153" s="340"/>
      <c r="AS5153" s="340"/>
      <c r="AX5153" s="340"/>
      <c r="BB5153" s="340"/>
      <c r="BD5153" s="339"/>
    </row>
    <row r="5154" spans="7:56" s="338" customFormat="1">
      <c r="G5154" s="340"/>
      <c r="L5154" s="340"/>
      <c r="P5154" s="340"/>
      <c r="U5154" s="340"/>
      <c r="V5154" s="340"/>
      <c r="Z5154" s="340"/>
      <c r="AE5154" s="340"/>
      <c r="AI5154" s="340"/>
      <c r="AN5154" s="340"/>
      <c r="AO5154" s="340"/>
      <c r="AS5154" s="340"/>
      <c r="AX5154" s="340"/>
      <c r="BB5154" s="340"/>
      <c r="BD5154" s="339"/>
    </row>
    <row r="5155" spans="7:56" s="338" customFormat="1">
      <c r="G5155" s="340"/>
      <c r="L5155" s="340"/>
      <c r="P5155" s="340"/>
      <c r="U5155" s="340"/>
      <c r="V5155" s="340"/>
      <c r="Z5155" s="340"/>
      <c r="AE5155" s="340"/>
      <c r="AI5155" s="340"/>
      <c r="AN5155" s="340"/>
      <c r="AO5155" s="340"/>
      <c r="AS5155" s="340"/>
      <c r="AX5155" s="340"/>
      <c r="BB5155" s="340"/>
      <c r="BD5155" s="339"/>
    </row>
    <row r="5156" spans="7:56" s="338" customFormat="1">
      <c r="G5156" s="340"/>
      <c r="L5156" s="340"/>
      <c r="P5156" s="340"/>
      <c r="U5156" s="340"/>
      <c r="V5156" s="340"/>
      <c r="Z5156" s="340"/>
      <c r="AE5156" s="340"/>
      <c r="AI5156" s="340"/>
      <c r="AN5156" s="340"/>
      <c r="AO5156" s="340"/>
      <c r="AS5156" s="340"/>
      <c r="AX5156" s="340"/>
      <c r="BB5156" s="340"/>
      <c r="BD5156" s="339"/>
    </row>
    <row r="5157" spans="7:56" s="338" customFormat="1">
      <c r="G5157" s="340"/>
      <c r="L5157" s="340"/>
      <c r="P5157" s="340"/>
      <c r="U5157" s="340"/>
      <c r="V5157" s="340"/>
      <c r="Z5157" s="340"/>
      <c r="AE5157" s="340"/>
      <c r="AI5157" s="340"/>
      <c r="AN5157" s="340"/>
      <c r="AO5157" s="340"/>
      <c r="AS5157" s="340"/>
      <c r="AX5157" s="340"/>
      <c r="BB5157" s="340"/>
      <c r="BD5157" s="339"/>
    </row>
    <row r="5158" spans="7:56" s="338" customFormat="1">
      <c r="G5158" s="340"/>
      <c r="L5158" s="340"/>
      <c r="P5158" s="340"/>
      <c r="U5158" s="340"/>
      <c r="V5158" s="340"/>
      <c r="Z5158" s="340"/>
      <c r="AE5158" s="340"/>
      <c r="AI5158" s="340"/>
      <c r="AN5158" s="340"/>
      <c r="AO5158" s="340"/>
      <c r="AS5158" s="340"/>
      <c r="AX5158" s="340"/>
      <c r="BB5158" s="340"/>
      <c r="BD5158" s="339"/>
    </row>
    <row r="5159" spans="7:56" s="338" customFormat="1">
      <c r="G5159" s="340"/>
      <c r="L5159" s="340"/>
      <c r="P5159" s="340"/>
      <c r="U5159" s="340"/>
      <c r="V5159" s="340"/>
      <c r="Z5159" s="340"/>
      <c r="AE5159" s="340"/>
      <c r="AI5159" s="340"/>
      <c r="AN5159" s="340"/>
      <c r="AO5159" s="340"/>
      <c r="AS5159" s="340"/>
      <c r="AX5159" s="340"/>
      <c r="BB5159" s="340"/>
      <c r="BD5159" s="339"/>
    </row>
    <row r="5160" spans="7:56" s="338" customFormat="1">
      <c r="G5160" s="340"/>
      <c r="L5160" s="340"/>
      <c r="P5160" s="340"/>
      <c r="U5160" s="340"/>
      <c r="V5160" s="340"/>
      <c r="Z5160" s="340"/>
      <c r="AE5160" s="340"/>
      <c r="AI5160" s="340"/>
      <c r="AN5160" s="340"/>
      <c r="AO5160" s="340"/>
      <c r="AS5160" s="340"/>
      <c r="AX5160" s="340"/>
      <c r="BB5160" s="340"/>
      <c r="BD5160" s="339"/>
    </row>
    <row r="5161" spans="7:56" s="338" customFormat="1">
      <c r="G5161" s="340"/>
      <c r="L5161" s="340"/>
      <c r="P5161" s="340"/>
      <c r="U5161" s="340"/>
      <c r="V5161" s="340"/>
      <c r="Z5161" s="340"/>
      <c r="AE5161" s="340"/>
      <c r="AI5161" s="340"/>
      <c r="AN5161" s="340"/>
      <c r="AO5161" s="340"/>
      <c r="AS5161" s="340"/>
      <c r="AX5161" s="340"/>
      <c r="BB5161" s="340"/>
      <c r="BD5161" s="339"/>
    </row>
    <row r="5162" spans="7:56" s="338" customFormat="1">
      <c r="G5162" s="340"/>
      <c r="L5162" s="340"/>
      <c r="P5162" s="340"/>
      <c r="U5162" s="340"/>
      <c r="V5162" s="340"/>
      <c r="Z5162" s="340"/>
      <c r="AE5162" s="340"/>
      <c r="AI5162" s="340"/>
      <c r="AN5162" s="340"/>
      <c r="AO5162" s="340"/>
      <c r="AS5162" s="340"/>
      <c r="AX5162" s="340"/>
      <c r="BB5162" s="340"/>
      <c r="BD5162" s="339"/>
    </row>
    <row r="5163" spans="7:56" s="338" customFormat="1">
      <c r="G5163" s="340"/>
      <c r="L5163" s="340"/>
      <c r="P5163" s="340"/>
      <c r="U5163" s="340"/>
      <c r="V5163" s="340"/>
      <c r="Z5163" s="340"/>
      <c r="AE5163" s="340"/>
      <c r="AI5163" s="340"/>
      <c r="AN5163" s="340"/>
      <c r="AO5163" s="340"/>
      <c r="AS5163" s="340"/>
      <c r="AX5163" s="340"/>
      <c r="BB5163" s="340"/>
      <c r="BD5163" s="339"/>
    </row>
    <row r="5164" spans="7:56" s="338" customFormat="1">
      <c r="G5164" s="340"/>
      <c r="L5164" s="340"/>
      <c r="P5164" s="340"/>
      <c r="U5164" s="340"/>
      <c r="V5164" s="340"/>
      <c r="Z5164" s="340"/>
      <c r="AE5164" s="340"/>
      <c r="AI5164" s="340"/>
      <c r="AN5164" s="340"/>
      <c r="AO5164" s="340"/>
      <c r="AS5164" s="340"/>
      <c r="AX5164" s="340"/>
      <c r="BB5164" s="340"/>
      <c r="BD5164" s="339"/>
    </row>
    <row r="5165" spans="7:56" s="338" customFormat="1">
      <c r="G5165" s="340"/>
      <c r="L5165" s="340"/>
      <c r="P5165" s="340"/>
      <c r="U5165" s="340"/>
      <c r="V5165" s="340"/>
      <c r="Z5165" s="340"/>
      <c r="AE5165" s="340"/>
      <c r="AI5165" s="340"/>
      <c r="AN5165" s="340"/>
      <c r="AO5165" s="340"/>
      <c r="AS5165" s="340"/>
      <c r="AX5165" s="340"/>
      <c r="BB5165" s="340"/>
      <c r="BD5165" s="339"/>
    </row>
    <row r="5166" spans="7:56" s="338" customFormat="1">
      <c r="G5166" s="340"/>
      <c r="L5166" s="340"/>
      <c r="P5166" s="340"/>
      <c r="U5166" s="340"/>
      <c r="V5166" s="340"/>
      <c r="Z5166" s="340"/>
      <c r="AE5166" s="340"/>
      <c r="AI5166" s="340"/>
      <c r="AN5166" s="340"/>
      <c r="AO5166" s="340"/>
      <c r="AS5166" s="340"/>
      <c r="AX5166" s="340"/>
      <c r="BB5166" s="340"/>
      <c r="BD5166" s="339"/>
    </row>
    <row r="5167" spans="7:56" s="338" customFormat="1">
      <c r="G5167" s="340"/>
      <c r="L5167" s="340"/>
      <c r="P5167" s="340"/>
      <c r="U5167" s="340"/>
      <c r="V5167" s="340"/>
      <c r="Z5167" s="340"/>
      <c r="AE5167" s="340"/>
      <c r="AI5167" s="340"/>
      <c r="AN5167" s="340"/>
      <c r="AO5167" s="340"/>
      <c r="AS5167" s="340"/>
      <c r="AX5167" s="340"/>
      <c r="BB5167" s="340"/>
      <c r="BD5167" s="339"/>
    </row>
    <row r="5168" spans="7:56" s="338" customFormat="1">
      <c r="G5168" s="340"/>
      <c r="L5168" s="340"/>
      <c r="P5168" s="340"/>
      <c r="U5168" s="340"/>
      <c r="V5168" s="340"/>
      <c r="Z5168" s="340"/>
      <c r="AE5168" s="340"/>
      <c r="AI5168" s="340"/>
      <c r="AN5168" s="340"/>
      <c r="AO5168" s="340"/>
      <c r="AS5168" s="340"/>
      <c r="AX5168" s="340"/>
      <c r="BB5168" s="340"/>
      <c r="BD5168" s="339"/>
    </row>
    <row r="5169" spans="7:56" s="338" customFormat="1">
      <c r="G5169" s="340"/>
      <c r="L5169" s="340"/>
      <c r="P5169" s="340"/>
      <c r="U5169" s="340"/>
      <c r="V5169" s="340"/>
      <c r="Z5169" s="340"/>
      <c r="AE5169" s="340"/>
      <c r="AI5169" s="340"/>
      <c r="AN5169" s="340"/>
      <c r="AO5169" s="340"/>
      <c r="AS5169" s="340"/>
      <c r="AX5169" s="340"/>
      <c r="BB5169" s="340"/>
      <c r="BD5169" s="339"/>
    </row>
    <row r="5170" spans="7:56" s="338" customFormat="1">
      <c r="G5170" s="340"/>
      <c r="L5170" s="340"/>
      <c r="P5170" s="340"/>
      <c r="U5170" s="340"/>
      <c r="V5170" s="340"/>
      <c r="Z5170" s="340"/>
      <c r="AE5170" s="340"/>
      <c r="AI5170" s="340"/>
      <c r="AN5170" s="340"/>
      <c r="AO5170" s="340"/>
      <c r="AS5170" s="340"/>
      <c r="AX5170" s="340"/>
      <c r="BB5170" s="340"/>
      <c r="BD5170" s="339"/>
    </row>
    <row r="5171" spans="7:56" s="338" customFormat="1">
      <c r="G5171" s="340"/>
      <c r="L5171" s="340"/>
      <c r="P5171" s="340"/>
      <c r="U5171" s="340"/>
      <c r="V5171" s="340"/>
      <c r="Z5171" s="340"/>
      <c r="AE5171" s="340"/>
      <c r="AI5171" s="340"/>
      <c r="AN5171" s="340"/>
      <c r="AO5171" s="340"/>
      <c r="AS5171" s="340"/>
      <c r="AX5171" s="340"/>
      <c r="BB5171" s="340"/>
      <c r="BD5171" s="339"/>
    </row>
    <row r="5172" spans="7:56" s="338" customFormat="1">
      <c r="G5172" s="340"/>
      <c r="L5172" s="340"/>
      <c r="P5172" s="340"/>
      <c r="U5172" s="340"/>
      <c r="V5172" s="340"/>
      <c r="Z5172" s="340"/>
      <c r="AE5172" s="340"/>
      <c r="AI5172" s="340"/>
      <c r="AN5172" s="340"/>
      <c r="AO5172" s="340"/>
      <c r="AS5172" s="340"/>
      <c r="AX5172" s="340"/>
      <c r="BB5172" s="340"/>
      <c r="BD5172" s="339"/>
    </row>
    <row r="5173" spans="7:56" s="338" customFormat="1">
      <c r="G5173" s="340"/>
      <c r="L5173" s="340"/>
      <c r="P5173" s="340"/>
      <c r="U5173" s="340"/>
      <c r="V5173" s="340"/>
      <c r="Z5173" s="340"/>
      <c r="AE5173" s="340"/>
      <c r="AI5173" s="340"/>
      <c r="AN5173" s="340"/>
      <c r="AO5173" s="340"/>
      <c r="AS5173" s="340"/>
      <c r="AX5173" s="340"/>
      <c r="BB5173" s="340"/>
      <c r="BD5173" s="339"/>
    </row>
    <row r="5174" spans="7:56" s="338" customFormat="1">
      <c r="G5174" s="340"/>
      <c r="L5174" s="340"/>
      <c r="P5174" s="340"/>
      <c r="U5174" s="340"/>
      <c r="V5174" s="340"/>
      <c r="Z5174" s="340"/>
      <c r="AE5174" s="340"/>
      <c r="AI5174" s="340"/>
      <c r="AN5174" s="340"/>
      <c r="AO5174" s="340"/>
      <c r="AS5174" s="340"/>
      <c r="AX5174" s="340"/>
      <c r="BB5174" s="340"/>
      <c r="BD5174" s="339"/>
    </row>
    <row r="5175" spans="7:56" s="338" customFormat="1">
      <c r="G5175" s="340"/>
      <c r="L5175" s="340"/>
      <c r="P5175" s="340"/>
      <c r="U5175" s="340"/>
      <c r="V5175" s="340"/>
      <c r="Z5175" s="340"/>
      <c r="AE5175" s="340"/>
      <c r="AI5175" s="340"/>
      <c r="AN5175" s="340"/>
      <c r="AO5175" s="340"/>
      <c r="AS5175" s="340"/>
      <c r="AX5175" s="340"/>
      <c r="BB5175" s="340"/>
      <c r="BD5175" s="339"/>
    </row>
    <row r="5176" spans="7:56" s="338" customFormat="1">
      <c r="G5176" s="340"/>
      <c r="L5176" s="340"/>
      <c r="P5176" s="340"/>
      <c r="U5176" s="340"/>
      <c r="V5176" s="340"/>
      <c r="Z5176" s="340"/>
      <c r="AE5176" s="340"/>
      <c r="AI5176" s="340"/>
      <c r="AN5176" s="340"/>
      <c r="AO5176" s="340"/>
      <c r="AS5176" s="340"/>
      <c r="AX5176" s="340"/>
      <c r="BB5176" s="340"/>
      <c r="BD5176" s="339"/>
    </row>
    <row r="5177" spans="7:56" s="338" customFormat="1">
      <c r="G5177" s="340"/>
      <c r="L5177" s="340"/>
      <c r="P5177" s="340"/>
      <c r="U5177" s="340"/>
      <c r="V5177" s="340"/>
      <c r="Z5177" s="340"/>
      <c r="AE5177" s="340"/>
      <c r="AI5177" s="340"/>
      <c r="AN5177" s="340"/>
      <c r="AO5177" s="340"/>
      <c r="AS5177" s="340"/>
      <c r="AX5177" s="340"/>
      <c r="BB5177" s="340"/>
      <c r="BD5177" s="339"/>
    </row>
    <row r="5178" spans="7:56" s="338" customFormat="1">
      <c r="G5178" s="340"/>
      <c r="L5178" s="340"/>
      <c r="P5178" s="340"/>
      <c r="U5178" s="340"/>
      <c r="V5178" s="340"/>
      <c r="Z5178" s="340"/>
      <c r="AE5178" s="340"/>
      <c r="AI5178" s="340"/>
      <c r="AN5178" s="340"/>
      <c r="AO5178" s="340"/>
      <c r="AS5178" s="340"/>
      <c r="AX5178" s="340"/>
      <c r="BB5178" s="340"/>
      <c r="BD5178" s="339"/>
    </row>
    <row r="5179" spans="7:56" s="338" customFormat="1">
      <c r="G5179" s="340"/>
      <c r="L5179" s="340"/>
      <c r="P5179" s="340"/>
      <c r="U5179" s="340"/>
      <c r="V5179" s="340"/>
      <c r="Z5179" s="340"/>
      <c r="AE5179" s="340"/>
      <c r="AI5179" s="340"/>
      <c r="AN5179" s="340"/>
      <c r="AO5179" s="340"/>
      <c r="AS5179" s="340"/>
      <c r="AX5179" s="340"/>
      <c r="BB5179" s="340"/>
      <c r="BD5179" s="339"/>
    </row>
    <row r="5180" spans="7:56" s="338" customFormat="1">
      <c r="G5180" s="340"/>
      <c r="L5180" s="340"/>
      <c r="P5180" s="340"/>
      <c r="U5180" s="340"/>
      <c r="V5180" s="340"/>
      <c r="Z5180" s="340"/>
      <c r="AE5180" s="340"/>
      <c r="AI5180" s="340"/>
      <c r="AN5180" s="340"/>
      <c r="AO5180" s="340"/>
      <c r="AS5180" s="340"/>
      <c r="AX5180" s="340"/>
      <c r="BB5180" s="340"/>
      <c r="BD5180" s="339"/>
    </row>
    <row r="5181" spans="7:56" s="338" customFormat="1">
      <c r="G5181" s="340"/>
      <c r="L5181" s="340"/>
      <c r="P5181" s="340"/>
      <c r="U5181" s="340"/>
      <c r="V5181" s="340"/>
      <c r="Z5181" s="340"/>
      <c r="AE5181" s="340"/>
      <c r="AI5181" s="340"/>
      <c r="AN5181" s="340"/>
      <c r="AO5181" s="340"/>
      <c r="AS5181" s="340"/>
      <c r="AX5181" s="340"/>
      <c r="BB5181" s="340"/>
      <c r="BD5181" s="339"/>
    </row>
    <row r="5182" spans="7:56" s="338" customFormat="1">
      <c r="G5182" s="340"/>
      <c r="L5182" s="340"/>
      <c r="P5182" s="340"/>
      <c r="U5182" s="340"/>
      <c r="V5182" s="340"/>
      <c r="Z5182" s="340"/>
      <c r="AE5182" s="340"/>
      <c r="AI5182" s="340"/>
      <c r="AN5182" s="340"/>
      <c r="AO5182" s="340"/>
      <c r="AS5182" s="340"/>
      <c r="AX5182" s="340"/>
      <c r="BB5182" s="340"/>
      <c r="BD5182" s="339"/>
    </row>
    <row r="5183" spans="7:56" s="338" customFormat="1">
      <c r="G5183" s="340"/>
      <c r="L5183" s="340"/>
      <c r="P5183" s="340"/>
      <c r="U5183" s="340"/>
      <c r="V5183" s="340"/>
      <c r="Z5183" s="340"/>
      <c r="AE5183" s="340"/>
      <c r="AI5183" s="340"/>
      <c r="AN5183" s="340"/>
      <c r="AO5183" s="340"/>
      <c r="AS5183" s="340"/>
      <c r="AX5183" s="340"/>
      <c r="BB5183" s="340"/>
      <c r="BD5183" s="339"/>
    </row>
    <row r="5184" spans="7:56" s="338" customFormat="1">
      <c r="G5184" s="340"/>
      <c r="L5184" s="340"/>
      <c r="P5184" s="340"/>
      <c r="U5184" s="340"/>
      <c r="V5184" s="340"/>
      <c r="Z5184" s="340"/>
      <c r="AE5184" s="340"/>
      <c r="AI5184" s="340"/>
      <c r="AN5184" s="340"/>
      <c r="AO5184" s="340"/>
      <c r="AS5184" s="340"/>
      <c r="AX5184" s="340"/>
      <c r="BB5184" s="340"/>
      <c r="BD5184" s="339"/>
    </row>
    <row r="5185" spans="7:56" s="338" customFormat="1">
      <c r="G5185" s="340"/>
      <c r="L5185" s="340"/>
      <c r="P5185" s="340"/>
      <c r="U5185" s="340"/>
      <c r="V5185" s="340"/>
      <c r="Z5185" s="340"/>
      <c r="AE5185" s="340"/>
      <c r="AI5185" s="340"/>
      <c r="AN5185" s="340"/>
      <c r="AO5185" s="340"/>
      <c r="AS5185" s="340"/>
      <c r="AX5185" s="340"/>
      <c r="BB5185" s="340"/>
      <c r="BD5185" s="339"/>
    </row>
    <row r="5186" spans="7:56" s="338" customFormat="1">
      <c r="G5186" s="340"/>
      <c r="L5186" s="340"/>
      <c r="P5186" s="340"/>
      <c r="U5186" s="340"/>
      <c r="V5186" s="340"/>
      <c r="Z5186" s="340"/>
      <c r="AE5186" s="340"/>
      <c r="AI5186" s="340"/>
      <c r="AN5186" s="340"/>
      <c r="AO5186" s="340"/>
      <c r="AS5186" s="340"/>
      <c r="AX5186" s="340"/>
      <c r="BB5186" s="340"/>
      <c r="BD5186" s="339"/>
    </row>
    <row r="5187" spans="7:56" s="338" customFormat="1">
      <c r="G5187" s="340"/>
      <c r="L5187" s="340"/>
      <c r="P5187" s="340"/>
      <c r="U5187" s="340"/>
      <c r="V5187" s="340"/>
      <c r="Z5187" s="340"/>
      <c r="AE5187" s="340"/>
      <c r="AI5187" s="340"/>
      <c r="AN5187" s="340"/>
      <c r="AO5187" s="340"/>
      <c r="AS5187" s="340"/>
      <c r="AX5187" s="340"/>
      <c r="BB5187" s="340"/>
      <c r="BD5187" s="339"/>
    </row>
    <row r="5188" spans="7:56" s="338" customFormat="1">
      <c r="G5188" s="340"/>
      <c r="L5188" s="340"/>
      <c r="P5188" s="340"/>
      <c r="U5188" s="340"/>
      <c r="V5188" s="340"/>
      <c r="Z5188" s="340"/>
      <c r="AE5188" s="340"/>
      <c r="AI5188" s="340"/>
      <c r="AN5188" s="340"/>
      <c r="AO5188" s="340"/>
      <c r="AS5188" s="340"/>
      <c r="AX5188" s="340"/>
      <c r="BB5188" s="340"/>
      <c r="BD5188" s="339"/>
    </row>
    <row r="5189" spans="7:56" s="338" customFormat="1">
      <c r="G5189" s="340"/>
      <c r="L5189" s="340"/>
      <c r="P5189" s="340"/>
      <c r="U5189" s="340"/>
      <c r="V5189" s="340"/>
      <c r="Z5189" s="340"/>
      <c r="AE5189" s="340"/>
      <c r="AI5189" s="340"/>
      <c r="AN5189" s="340"/>
      <c r="AO5189" s="340"/>
      <c r="AS5189" s="340"/>
      <c r="AX5189" s="340"/>
      <c r="BB5189" s="340"/>
      <c r="BD5189" s="339"/>
    </row>
    <row r="5190" spans="7:56" s="338" customFormat="1">
      <c r="G5190" s="340"/>
      <c r="L5190" s="340"/>
      <c r="P5190" s="340"/>
      <c r="U5190" s="340"/>
      <c r="V5190" s="340"/>
      <c r="Z5190" s="340"/>
      <c r="AE5190" s="340"/>
      <c r="AI5190" s="340"/>
      <c r="AN5190" s="340"/>
      <c r="AO5190" s="340"/>
      <c r="AS5190" s="340"/>
      <c r="AX5190" s="340"/>
      <c r="BB5190" s="340"/>
      <c r="BD5190" s="339"/>
    </row>
    <row r="5191" spans="7:56" s="338" customFormat="1">
      <c r="G5191" s="340"/>
      <c r="L5191" s="340"/>
      <c r="P5191" s="340"/>
      <c r="U5191" s="340"/>
      <c r="V5191" s="340"/>
      <c r="Z5191" s="340"/>
      <c r="AE5191" s="340"/>
      <c r="AI5191" s="340"/>
      <c r="AN5191" s="340"/>
      <c r="AO5191" s="340"/>
      <c r="AS5191" s="340"/>
      <c r="AX5191" s="340"/>
      <c r="BB5191" s="340"/>
      <c r="BD5191" s="339"/>
    </row>
    <row r="5192" spans="7:56" s="338" customFormat="1">
      <c r="G5192" s="340"/>
      <c r="L5192" s="340"/>
      <c r="P5192" s="340"/>
      <c r="U5192" s="340"/>
      <c r="V5192" s="340"/>
      <c r="Z5192" s="340"/>
      <c r="AE5192" s="340"/>
      <c r="AI5192" s="340"/>
      <c r="AN5192" s="340"/>
      <c r="AO5192" s="340"/>
      <c r="AS5192" s="340"/>
      <c r="AX5192" s="340"/>
      <c r="BB5192" s="340"/>
      <c r="BD5192" s="339"/>
    </row>
    <row r="5193" spans="7:56" s="338" customFormat="1">
      <c r="G5193" s="340"/>
      <c r="L5193" s="340"/>
      <c r="P5193" s="340"/>
      <c r="U5193" s="340"/>
      <c r="V5193" s="340"/>
      <c r="Z5193" s="340"/>
      <c r="AE5193" s="340"/>
      <c r="AI5193" s="340"/>
      <c r="AN5193" s="340"/>
      <c r="AO5193" s="340"/>
      <c r="AS5193" s="340"/>
      <c r="AX5193" s="340"/>
      <c r="BB5193" s="340"/>
      <c r="BD5193" s="339"/>
    </row>
    <row r="5194" spans="7:56" s="338" customFormat="1">
      <c r="G5194" s="340"/>
      <c r="L5194" s="340"/>
      <c r="P5194" s="340"/>
      <c r="U5194" s="340"/>
      <c r="V5194" s="340"/>
      <c r="Z5194" s="340"/>
      <c r="AE5194" s="340"/>
      <c r="AI5194" s="340"/>
      <c r="AN5194" s="340"/>
      <c r="AO5194" s="340"/>
      <c r="AS5194" s="340"/>
      <c r="AX5194" s="340"/>
      <c r="BB5194" s="340"/>
      <c r="BD5194" s="339"/>
    </row>
    <row r="5195" spans="7:56" s="338" customFormat="1">
      <c r="G5195" s="340"/>
      <c r="L5195" s="340"/>
      <c r="P5195" s="340"/>
      <c r="U5195" s="340"/>
      <c r="V5195" s="340"/>
      <c r="Z5195" s="340"/>
      <c r="AE5195" s="340"/>
      <c r="AI5195" s="340"/>
      <c r="AN5195" s="340"/>
      <c r="AO5195" s="340"/>
      <c r="AS5195" s="340"/>
      <c r="AX5195" s="340"/>
      <c r="BB5195" s="340"/>
      <c r="BD5195" s="339"/>
    </row>
    <row r="5196" spans="7:56" s="338" customFormat="1">
      <c r="G5196" s="340"/>
      <c r="L5196" s="340"/>
      <c r="P5196" s="340"/>
      <c r="U5196" s="340"/>
      <c r="V5196" s="340"/>
      <c r="Z5196" s="340"/>
      <c r="AE5196" s="340"/>
      <c r="AI5196" s="340"/>
      <c r="AN5196" s="340"/>
      <c r="AO5196" s="340"/>
      <c r="AS5196" s="340"/>
      <c r="AX5196" s="340"/>
      <c r="BB5196" s="340"/>
      <c r="BD5196" s="339"/>
    </row>
    <row r="5197" spans="7:56" s="338" customFormat="1">
      <c r="G5197" s="340"/>
      <c r="L5197" s="340"/>
      <c r="P5197" s="340"/>
      <c r="U5197" s="340"/>
      <c r="V5197" s="340"/>
      <c r="Z5197" s="340"/>
      <c r="AE5197" s="340"/>
      <c r="AI5197" s="340"/>
      <c r="AN5197" s="340"/>
      <c r="AO5197" s="340"/>
      <c r="AS5197" s="340"/>
      <c r="AX5197" s="340"/>
      <c r="BB5197" s="340"/>
      <c r="BD5197" s="339"/>
    </row>
    <row r="5198" spans="7:56" s="338" customFormat="1">
      <c r="G5198" s="340"/>
      <c r="L5198" s="340"/>
      <c r="P5198" s="340"/>
      <c r="U5198" s="340"/>
      <c r="V5198" s="340"/>
      <c r="Z5198" s="340"/>
      <c r="AE5198" s="340"/>
      <c r="AI5198" s="340"/>
      <c r="AN5198" s="340"/>
      <c r="AO5198" s="340"/>
      <c r="AS5198" s="340"/>
      <c r="AX5198" s="340"/>
      <c r="BB5198" s="340"/>
      <c r="BD5198" s="339"/>
    </row>
    <row r="5199" spans="7:56" s="338" customFormat="1">
      <c r="G5199" s="340"/>
      <c r="L5199" s="340"/>
      <c r="P5199" s="340"/>
      <c r="U5199" s="340"/>
      <c r="V5199" s="340"/>
      <c r="Z5199" s="340"/>
      <c r="AE5199" s="340"/>
      <c r="AI5199" s="340"/>
      <c r="AN5199" s="340"/>
      <c r="AO5199" s="340"/>
      <c r="AS5199" s="340"/>
      <c r="AX5199" s="340"/>
      <c r="BB5199" s="340"/>
      <c r="BD5199" s="339"/>
    </row>
    <row r="5200" spans="7:56" s="338" customFormat="1">
      <c r="G5200" s="340"/>
      <c r="L5200" s="340"/>
      <c r="P5200" s="340"/>
      <c r="U5200" s="340"/>
      <c r="V5200" s="340"/>
      <c r="Z5200" s="340"/>
      <c r="AE5200" s="340"/>
      <c r="AI5200" s="340"/>
      <c r="AN5200" s="340"/>
      <c r="AO5200" s="340"/>
      <c r="AS5200" s="340"/>
      <c r="AX5200" s="340"/>
      <c r="BB5200" s="340"/>
      <c r="BD5200" s="339"/>
    </row>
    <row r="5201" spans="7:56" s="338" customFormat="1">
      <c r="G5201" s="340"/>
      <c r="L5201" s="340"/>
      <c r="P5201" s="340"/>
      <c r="U5201" s="340"/>
      <c r="V5201" s="340"/>
      <c r="Z5201" s="340"/>
      <c r="AE5201" s="340"/>
      <c r="AI5201" s="340"/>
      <c r="AN5201" s="340"/>
      <c r="AO5201" s="340"/>
      <c r="AS5201" s="340"/>
      <c r="AX5201" s="340"/>
      <c r="BB5201" s="340"/>
      <c r="BD5201" s="339"/>
    </row>
    <row r="5202" spans="7:56" s="338" customFormat="1">
      <c r="G5202" s="340"/>
      <c r="L5202" s="340"/>
      <c r="P5202" s="340"/>
      <c r="U5202" s="340"/>
      <c r="V5202" s="340"/>
      <c r="Z5202" s="340"/>
      <c r="AE5202" s="340"/>
      <c r="AI5202" s="340"/>
      <c r="AN5202" s="340"/>
      <c r="AO5202" s="340"/>
      <c r="AS5202" s="340"/>
      <c r="AX5202" s="340"/>
      <c r="BB5202" s="340"/>
      <c r="BD5202" s="339"/>
    </row>
    <row r="5203" spans="7:56" s="338" customFormat="1">
      <c r="G5203" s="340"/>
      <c r="L5203" s="340"/>
      <c r="P5203" s="340"/>
      <c r="U5203" s="340"/>
      <c r="V5203" s="340"/>
      <c r="Z5203" s="340"/>
      <c r="AE5203" s="340"/>
      <c r="AI5203" s="340"/>
      <c r="AN5203" s="340"/>
      <c r="AO5203" s="340"/>
      <c r="AS5203" s="340"/>
      <c r="AX5203" s="340"/>
      <c r="BB5203" s="340"/>
      <c r="BD5203" s="339"/>
    </row>
    <row r="5204" spans="7:56" s="338" customFormat="1">
      <c r="G5204" s="340"/>
      <c r="L5204" s="340"/>
      <c r="P5204" s="340"/>
      <c r="U5204" s="340"/>
      <c r="V5204" s="340"/>
      <c r="Z5204" s="340"/>
      <c r="AE5204" s="340"/>
      <c r="AI5204" s="340"/>
      <c r="AN5204" s="340"/>
      <c r="AO5204" s="340"/>
      <c r="AS5204" s="340"/>
      <c r="AX5204" s="340"/>
      <c r="BB5204" s="340"/>
      <c r="BD5204" s="339"/>
    </row>
    <row r="5205" spans="7:56" s="338" customFormat="1">
      <c r="G5205" s="340"/>
      <c r="L5205" s="340"/>
      <c r="P5205" s="340"/>
      <c r="U5205" s="340"/>
      <c r="V5205" s="340"/>
      <c r="Z5205" s="340"/>
      <c r="AE5205" s="340"/>
      <c r="AI5205" s="340"/>
      <c r="AN5205" s="340"/>
      <c r="AO5205" s="340"/>
      <c r="AS5205" s="340"/>
      <c r="AX5205" s="340"/>
      <c r="BB5205" s="340"/>
      <c r="BD5205" s="339"/>
    </row>
    <row r="5206" spans="7:56" s="338" customFormat="1">
      <c r="G5206" s="340"/>
      <c r="L5206" s="340"/>
      <c r="P5206" s="340"/>
      <c r="U5206" s="340"/>
      <c r="V5206" s="340"/>
      <c r="Z5206" s="340"/>
      <c r="AE5206" s="340"/>
      <c r="AI5206" s="340"/>
      <c r="AN5206" s="340"/>
      <c r="AO5206" s="340"/>
      <c r="AS5206" s="340"/>
      <c r="AX5206" s="340"/>
      <c r="BB5206" s="340"/>
      <c r="BD5206" s="339"/>
    </row>
    <row r="5207" spans="7:56" s="338" customFormat="1">
      <c r="G5207" s="340"/>
      <c r="L5207" s="340"/>
      <c r="P5207" s="340"/>
      <c r="U5207" s="340"/>
      <c r="V5207" s="340"/>
      <c r="Z5207" s="340"/>
      <c r="AE5207" s="340"/>
      <c r="AI5207" s="340"/>
      <c r="AN5207" s="340"/>
      <c r="AO5207" s="340"/>
      <c r="AS5207" s="340"/>
      <c r="AX5207" s="340"/>
      <c r="BB5207" s="340"/>
      <c r="BD5207" s="339"/>
    </row>
    <row r="5208" spans="7:56" s="338" customFormat="1">
      <c r="G5208" s="340"/>
      <c r="L5208" s="340"/>
      <c r="P5208" s="340"/>
      <c r="U5208" s="340"/>
      <c r="V5208" s="340"/>
      <c r="Z5208" s="340"/>
      <c r="AE5208" s="340"/>
      <c r="AI5208" s="340"/>
      <c r="AN5208" s="340"/>
      <c r="AO5208" s="340"/>
      <c r="AS5208" s="340"/>
      <c r="AX5208" s="340"/>
      <c r="BB5208" s="340"/>
      <c r="BD5208" s="339"/>
    </row>
    <row r="5209" spans="7:56" s="338" customFormat="1">
      <c r="G5209" s="340"/>
      <c r="L5209" s="340"/>
      <c r="P5209" s="340"/>
      <c r="U5209" s="340"/>
      <c r="V5209" s="340"/>
      <c r="Z5209" s="340"/>
      <c r="AE5209" s="340"/>
      <c r="AI5209" s="340"/>
      <c r="AN5209" s="340"/>
      <c r="AO5209" s="340"/>
      <c r="AS5209" s="340"/>
      <c r="AX5209" s="340"/>
      <c r="BB5209" s="340"/>
      <c r="BD5209" s="339"/>
    </row>
    <row r="5210" spans="7:56" s="338" customFormat="1">
      <c r="G5210" s="340"/>
      <c r="L5210" s="340"/>
      <c r="P5210" s="340"/>
      <c r="U5210" s="340"/>
      <c r="V5210" s="340"/>
      <c r="Z5210" s="340"/>
      <c r="AE5210" s="340"/>
      <c r="AI5210" s="340"/>
      <c r="AN5210" s="340"/>
      <c r="AO5210" s="340"/>
      <c r="AS5210" s="340"/>
      <c r="AX5210" s="340"/>
      <c r="BB5210" s="340"/>
      <c r="BD5210" s="339"/>
    </row>
    <row r="5211" spans="7:56" s="338" customFormat="1">
      <c r="G5211" s="340"/>
      <c r="L5211" s="340"/>
      <c r="P5211" s="340"/>
      <c r="U5211" s="340"/>
      <c r="V5211" s="340"/>
      <c r="Z5211" s="340"/>
      <c r="AE5211" s="340"/>
      <c r="AI5211" s="340"/>
      <c r="AN5211" s="340"/>
      <c r="AO5211" s="340"/>
      <c r="AS5211" s="340"/>
      <c r="AX5211" s="340"/>
      <c r="BB5211" s="340"/>
      <c r="BD5211" s="339"/>
    </row>
    <row r="5212" spans="7:56" s="338" customFormat="1">
      <c r="G5212" s="340"/>
      <c r="L5212" s="340"/>
      <c r="P5212" s="340"/>
      <c r="U5212" s="340"/>
      <c r="V5212" s="340"/>
      <c r="Z5212" s="340"/>
      <c r="AE5212" s="340"/>
      <c r="AI5212" s="340"/>
      <c r="AN5212" s="340"/>
      <c r="AO5212" s="340"/>
      <c r="AS5212" s="340"/>
      <c r="AX5212" s="340"/>
      <c r="BB5212" s="340"/>
      <c r="BD5212" s="339"/>
    </row>
    <row r="5213" spans="7:56" s="338" customFormat="1">
      <c r="G5213" s="340"/>
      <c r="L5213" s="340"/>
      <c r="P5213" s="340"/>
      <c r="U5213" s="340"/>
      <c r="V5213" s="340"/>
      <c r="Z5213" s="340"/>
      <c r="AE5213" s="340"/>
      <c r="AI5213" s="340"/>
      <c r="AN5213" s="340"/>
      <c r="AO5213" s="340"/>
      <c r="AS5213" s="340"/>
      <c r="AX5213" s="340"/>
      <c r="BB5213" s="340"/>
      <c r="BD5213" s="339"/>
    </row>
    <row r="5214" spans="7:56" s="338" customFormat="1">
      <c r="G5214" s="340"/>
      <c r="L5214" s="340"/>
      <c r="P5214" s="340"/>
      <c r="U5214" s="340"/>
      <c r="V5214" s="340"/>
      <c r="Z5214" s="340"/>
      <c r="AE5214" s="340"/>
      <c r="AI5214" s="340"/>
      <c r="AN5214" s="340"/>
      <c r="AO5214" s="340"/>
      <c r="AS5214" s="340"/>
      <c r="AX5214" s="340"/>
      <c r="BB5214" s="340"/>
      <c r="BD5214" s="339"/>
    </row>
    <row r="5215" spans="7:56" s="338" customFormat="1">
      <c r="G5215" s="340"/>
      <c r="L5215" s="340"/>
      <c r="P5215" s="340"/>
      <c r="U5215" s="340"/>
      <c r="V5215" s="340"/>
      <c r="Z5215" s="340"/>
      <c r="AE5215" s="340"/>
      <c r="AI5215" s="340"/>
      <c r="AN5215" s="340"/>
      <c r="AO5215" s="340"/>
      <c r="AS5215" s="340"/>
      <c r="AX5215" s="340"/>
      <c r="BB5215" s="340"/>
      <c r="BD5215" s="339"/>
    </row>
    <row r="5216" spans="7:56" s="338" customFormat="1">
      <c r="G5216" s="340"/>
      <c r="L5216" s="340"/>
      <c r="P5216" s="340"/>
      <c r="U5216" s="340"/>
      <c r="V5216" s="340"/>
      <c r="Z5216" s="340"/>
      <c r="AE5216" s="340"/>
      <c r="AI5216" s="340"/>
      <c r="AN5216" s="340"/>
      <c r="AO5216" s="340"/>
      <c r="AS5216" s="340"/>
      <c r="AX5216" s="340"/>
      <c r="BB5216" s="340"/>
      <c r="BD5216" s="339"/>
    </row>
    <row r="5217" spans="7:56" s="338" customFormat="1">
      <c r="G5217" s="340"/>
      <c r="L5217" s="340"/>
      <c r="P5217" s="340"/>
      <c r="U5217" s="340"/>
      <c r="V5217" s="340"/>
      <c r="Z5217" s="340"/>
      <c r="AE5217" s="340"/>
      <c r="AI5217" s="340"/>
      <c r="AN5217" s="340"/>
      <c r="AO5217" s="340"/>
      <c r="AS5217" s="340"/>
      <c r="AX5217" s="340"/>
      <c r="BB5217" s="340"/>
      <c r="BD5217" s="339"/>
    </row>
    <row r="5218" spans="7:56" s="338" customFormat="1">
      <c r="G5218" s="340"/>
      <c r="L5218" s="340"/>
      <c r="P5218" s="340"/>
      <c r="U5218" s="340"/>
      <c r="V5218" s="340"/>
      <c r="Z5218" s="340"/>
      <c r="AE5218" s="340"/>
      <c r="AI5218" s="340"/>
      <c r="AN5218" s="340"/>
      <c r="AO5218" s="340"/>
      <c r="AS5218" s="340"/>
      <c r="AX5218" s="340"/>
      <c r="BB5218" s="340"/>
      <c r="BD5218" s="339"/>
    </row>
    <row r="5219" spans="7:56" s="338" customFormat="1">
      <c r="G5219" s="340"/>
      <c r="L5219" s="340"/>
      <c r="P5219" s="340"/>
      <c r="U5219" s="340"/>
      <c r="V5219" s="340"/>
      <c r="Z5219" s="340"/>
      <c r="AE5219" s="340"/>
      <c r="AI5219" s="340"/>
      <c r="AN5219" s="340"/>
      <c r="AO5219" s="340"/>
      <c r="AS5219" s="340"/>
      <c r="AX5219" s="340"/>
      <c r="BB5219" s="340"/>
      <c r="BD5219" s="339"/>
    </row>
    <row r="5220" spans="7:56" s="338" customFormat="1">
      <c r="G5220" s="340"/>
      <c r="L5220" s="340"/>
      <c r="P5220" s="340"/>
      <c r="U5220" s="340"/>
      <c r="V5220" s="340"/>
      <c r="Z5220" s="340"/>
      <c r="AE5220" s="340"/>
      <c r="AI5220" s="340"/>
      <c r="AN5220" s="340"/>
      <c r="AO5220" s="340"/>
      <c r="AS5220" s="340"/>
      <c r="AX5220" s="340"/>
      <c r="BB5220" s="340"/>
      <c r="BD5220" s="339"/>
    </row>
    <row r="5221" spans="7:56" s="338" customFormat="1">
      <c r="G5221" s="340"/>
      <c r="L5221" s="340"/>
      <c r="P5221" s="340"/>
      <c r="U5221" s="340"/>
      <c r="V5221" s="340"/>
      <c r="Z5221" s="340"/>
      <c r="AE5221" s="340"/>
      <c r="AI5221" s="340"/>
      <c r="AN5221" s="340"/>
      <c r="AO5221" s="340"/>
      <c r="AS5221" s="340"/>
      <c r="AX5221" s="340"/>
      <c r="BB5221" s="340"/>
      <c r="BD5221" s="339"/>
    </row>
    <row r="5222" spans="7:56" s="338" customFormat="1">
      <c r="G5222" s="340"/>
      <c r="L5222" s="340"/>
      <c r="P5222" s="340"/>
      <c r="U5222" s="340"/>
      <c r="V5222" s="340"/>
      <c r="Z5222" s="340"/>
      <c r="AE5222" s="340"/>
      <c r="AI5222" s="340"/>
      <c r="AN5222" s="340"/>
      <c r="AO5222" s="340"/>
      <c r="AS5222" s="340"/>
      <c r="AX5222" s="340"/>
      <c r="BB5222" s="340"/>
      <c r="BD5222" s="339"/>
    </row>
    <row r="5223" spans="7:56" s="338" customFormat="1">
      <c r="G5223" s="340"/>
      <c r="L5223" s="340"/>
      <c r="P5223" s="340"/>
      <c r="U5223" s="340"/>
      <c r="V5223" s="340"/>
      <c r="Z5223" s="340"/>
      <c r="AE5223" s="340"/>
      <c r="AI5223" s="340"/>
      <c r="AN5223" s="340"/>
      <c r="AO5223" s="340"/>
      <c r="AS5223" s="340"/>
      <c r="AX5223" s="340"/>
      <c r="BB5223" s="340"/>
      <c r="BD5223" s="339"/>
    </row>
    <row r="5224" spans="7:56" s="338" customFormat="1">
      <c r="G5224" s="340"/>
      <c r="L5224" s="340"/>
      <c r="P5224" s="340"/>
      <c r="U5224" s="340"/>
      <c r="V5224" s="340"/>
      <c r="Z5224" s="340"/>
      <c r="AE5224" s="340"/>
      <c r="AI5224" s="340"/>
      <c r="AN5224" s="340"/>
      <c r="AO5224" s="340"/>
      <c r="AS5224" s="340"/>
      <c r="AX5224" s="340"/>
      <c r="BB5224" s="340"/>
      <c r="BD5224" s="339"/>
    </row>
    <row r="5225" spans="7:56" s="338" customFormat="1">
      <c r="G5225" s="340"/>
      <c r="L5225" s="340"/>
      <c r="P5225" s="340"/>
      <c r="U5225" s="340"/>
      <c r="V5225" s="340"/>
      <c r="Z5225" s="340"/>
      <c r="AE5225" s="340"/>
      <c r="AI5225" s="340"/>
      <c r="AN5225" s="340"/>
      <c r="AO5225" s="340"/>
      <c r="AS5225" s="340"/>
      <c r="AX5225" s="340"/>
      <c r="BB5225" s="340"/>
      <c r="BD5225" s="339"/>
    </row>
    <row r="5226" spans="7:56" s="338" customFormat="1">
      <c r="G5226" s="340"/>
      <c r="L5226" s="340"/>
      <c r="P5226" s="340"/>
      <c r="U5226" s="340"/>
      <c r="V5226" s="340"/>
      <c r="Z5226" s="340"/>
      <c r="AE5226" s="340"/>
      <c r="AI5226" s="340"/>
      <c r="AN5226" s="340"/>
      <c r="AO5226" s="340"/>
      <c r="AS5226" s="340"/>
      <c r="AX5226" s="340"/>
      <c r="BB5226" s="340"/>
      <c r="BD5226" s="339"/>
    </row>
    <row r="5227" spans="7:56" s="338" customFormat="1">
      <c r="G5227" s="340"/>
      <c r="L5227" s="340"/>
      <c r="P5227" s="340"/>
      <c r="U5227" s="340"/>
      <c r="V5227" s="340"/>
      <c r="Z5227" s="340"/>
      <c r="AE5227" s="340"/>
      <c r="AI5227" s="340"/>
      <c r="AN5227" s="340"/>
      <c r="AO5227" s="340"/>
      <c r="AS5227" s="340"/>
      <c r="AX5227" s="340"/>
      <c r="BB5227" s="340"/>
      <c r="BD5227" s="339"/>
    </row>
    <row r="5228" spans="7:56" s="338" customFormat="1">
      <c r="G5228" s="340"/>
      <c r="L5228" s="340"/>
      <c r="P5228" s="340"/>
      <c r="U5228" s="340"/>
      <c r="V5228" s="340"/>
      <c r="Z5228" s="340"/>
      <c r="AE5228" s="340"/>
      <c r="AI5228" s="340"/>
      <c r="AN5228" s="340"/>
      <c r="AO5228" s="340"/>
      <c r="AS5228" s="340"/>
      <c r="AX5228" s="340"/>
      <c r="BB5228" s="340"/>
      <c r="BD5228" s="339"/>
    </row>
    <row r="5229" spans="7:56" s="338" customFormat="1">
      <c r="G5229" s="340"/>
      <c r="L5229" s="340"/>
      <c r="P5229" s="340"/>
      <c r="U5229" s="340"/>
      <c r="V5229" s="340"/>
      <c r="Z5229" s="340"/>
      <c r="AE5229" s="340"/>
      <c r="AI5229" s="340"/>
      <c r="AN5229" s="340"/>
      <c r="AO5229" s="340"/>
      <c r="AS5229" s="340"/>
      <c r="AX5229" s="340"/>
      <c r="BB5229" s="340"/>
      <c r="BD5229" s="339"/>
    </row>
    <row r="5230" spans="7:56" s="338" customFormat="1">
      <c r="G5230" s="340"/>
      <c r="L5230" s="340"/>
      <c r="P5230" s="340"/>
      <c r="U5230" s="340"/>
      <c r="V5230" s="340"/>
      <c r="Z5230" s="340"/>
      <c r="AE5230" s="340"/>
      <c r="AI5230" s="340"/>
      <c r="AN5230" s="340"/>
      <c r="AO5230" s="340"/>
      <c r="AS5230" s="340"/>
      <c r="AX5230" s="340"/>
      <c r="BB5230" s="340"/>
      <c r="BD5230" s="339"/>
    </row>
    <row r="5231" spans="7:56" s="338" customFormat="1">
      <c r="G5231" s="340"/>
      <c r="L5231" s="340"/>
      <c r="P5231" s="340"/>
      <c r="U5231" s="340"/>
      <c r="V5231" s="340"/>
      <c r="Z5231" s="340"/>
      <c r="AE5231" s="340"/>
      <c r="AI5231" s="340"/>
      <c r="AN5231" s="340"/>
      <c r="AO5231" s="340"/>
      <c r="AS5231" s="340"/>
      <c r="AX5231" s="340"/>
      <c r="BB5231" s="340"/>
      <c r="BD5231" s="339"/>
    </row>
    <row r="5232" spans="7:56" s="338" customFormat="1">
      <c r="G5232" s="340"/>
      <c r="L5232" s="340"/>
      <c r="P5232" s="340"/>
      <c r="U5232" s="340"/>
      <c r="V5232" s="340"/>
      <c r="Z5232" s="340"/>
      <c r="AE5232" s="340"/>
      <c r="AI5232" s="340"/>
      <c r="AN5232" s="340"/>
      <c r="AO5232" s="340"/>
      <c r="AS5232" s="340"/>
      <c r="AX5232" s="340"/>
      <c r="BB5232" s="340"/>
      <c r="BD5232" s="339"/>
    </row>
    <row r="5233" spans="7:56" s="338" customFormat="1">
      <c r="G5233" s="340"/>
      <c r="L5233" s="340"/>
      <c r="P5233" s="340"/>
      <c r="U5233" s="340"/>
      <c r="V5233" s="340"/>
      <c r="Z5233" s="340"/>
      <c r="AE5233" s="340"/>
      <c r="AI5233" s="340"/>
      <c r="AN5233" s="340"/>
      <c r="AO5233" s="340"/>
      <c r="AS5233" s="340"/>
      <c r="AX5233" s="340"/>
      <c r="BB5233" s="340"/>
      <c r="BD5233" s="339"/>
    </row>
    <row r="5234" spans="7:56" s="338" customFormat="1">
      <c r="G5234" s="340"/>
      <c r="L5234" s="340"/>
      <c r="P5234" s="340"/>
      <c r="U5234" s="340"/>
      <c r="V5234" s="340"/>
      <c r="Z5234" s="340"/>
      <c r="AE5234" s="340"/>
      <c r="AI5234" s="340"/>
      <c r="AN5234" s="340"/>
      <c r="AO5234" s="340"/>
      <c r="AS5234" s="340"/>
      <c r="AX5234" s="340"/>
      <c r="BB5234" s="340"/>
      <c r="BD5234" s="339"/>
    </row>
    <row r="5235" spans="7:56" s="338" customFormat="1">
      <c r="G5235" s="340"/>
      <c r="L5235" s="340"/>
      <c r="P5235" s="340"/>
      <c r="U5235" s="340"/>
      <c r="V5235" s="340"/>
      <c r="Z5235" s="340"/>
      <c r="AE5235" s="340"/>
      <c r="AI5235" s="340"/>
      <c r="AN5235" s="340"/>
      <c r="AO5235" s="340"/>
      <c r="AS5235" s="340"/>
      <c r="AX5235" s="340"/>
      <c r="BB5235" s="340"/>
      <c r="BD5235" s="339"/>
    </row>
    <row r="5236" spans="7:56" s="338" customFormat="1">
      <c r="G5236" s="340"/>
      <c r="L5236" s="340"/>
      <c r="P5236" s="340"/>
      <c r="U5236" s="340"/>
      <c r="V5236" s="340"/>
      <c r="Z5236" s="340"/>
      <c r="AE5236" s="340"/>
      <c r="AI5236" s="340"/>
      <c r="AN5236" s="340"/>
      <c r="AO5236" s="340"/>
      <c r="AS5236" s="340"/>
      <c r="AX5236" s="340"/>
      <c r="BB5236" s="340"/>
      <c r="BD5236" s="339"/>
    </row>
    <row r="5237" spans="7:56" s="338" customFormat="1">
      <c r="G5237" s="340"/>
      <c r="L5237" s="340"/>
      <c r="P5237" s="340"/>
      <c r="U5237" s="340"/>
      <c r="V5237" s="340"/>
      <c r="Z5237" s="340"/>
      <c r="AE5237" s="340"/>
      <c r="AI5237" s="340"/>
      <c r="AN5237" s="340"/>
      <c r="AO5237" s="340"/>
      <c r="AS5237" s="340"/>
      <c r="AX5237" s="340"/>
      <c r="BB5237" s="340"/>
      <c r="BD5237" s="339"/>
    </row>
    <row r="5238" spans="7:56" s="338" customFormat="1">
      <c r="G5238" s="340"/>
      <c r="L5238" s="340"/>
      <c r="P5238" s="340"/>
      <c r="U5238" s="340"/>
      <c r="V5238" s="340"/>
      <c r="Z5238" s="340"/>
      <c r="AE5238" s="340"/>
      <c r="AI5238" s="340"/>
      <c r="AN5238" s="340"/>
      <c r="AO5238" s="340"/>
      <c r="AS5238" s="340"/>
      <c r="AX5238" s="340"/>
      <c r="BB5238" s="340"/>
      <c r="BD5238" s="339"/>
    </row>
    <row r="5239" spans="7:56" s="338" customFormat="1">
      <c r="G5239" s="340"/>
      <c r="L5239" s="340"/>
      <c r="P5239" s="340"/>
      <c r="U5239" s="340"/>
      <c r="V5239" s="340"/>
      <c r="Z5239" s="340"/>
      <c r="AE5239" s="340"/>
      <c r="AI5239" s="340"/>
      <c r="AN5239" s="340"/>
      <c r="AO5239" s="340"/>
      <c r="AS5239" s="340"/>
      <c r="AX5239" s="340"/>
      <c r="BB5239" s="340"/>
      <c r="BD5239" s="339"/>
    </row>
    <row r="5240" spans="7:56" s="338" customFormat="1">
      <c r="G5240" s="340"/>
      <c r="L5240" s="340"/>
      <c r="P5240" s="340"/>
      <c r="U5240" s="340"/>
      <c r="V5240" s="340"/>
      <c r="Z5240" s="340"/>
      <c r="AE5240" s="340"/>
      <c r="AI5240" s="340"/>
      <c r="AN5240" s="340"/>
      <c r="AO5240" s="340"/>
      <c r="AS5240" s="340"/>
      <c r="AX5240" s="340"/>
      <c r="BB5240" s="340"/>
      <c r="BD5240" s="339"/>
    </row>
    <row r="5241" spans="7:56" s="338" customFormat="1">
      <c r="G5241" s="340"/>
      <c r="L5241" s="340"/>
      <c r="P5241" s="340"/>
      <c r="U5241" s="340"/>
      <c r="V5241" s="340"/>
      <c r="Z5241" s="340"/>
      <c r="AE5241" s="340"/>
      <c r="AI5241" s="340"/>
      <c r="AN5241" s="340"/>
      <c r="AO5241" s="340"/>
      <c r="AS5241" s="340"/>
      <c r="AX5241" s="340"/>
      <c r="BB5241" s="340"/>
      <c r="BD5241" s="339"/>
    </row>
    <row r="5242" spans="7:56" s="338" customFormat="1">
      <c r="G5242" s="340"/>
      <c r="L5242" s="340"/>
      <c r="P5242" s="340"/>
      <c r="U5242" s="340"/>
      <c r="V5242" s="340"/>
      <c r="Z5242" s="340"/>
      <c r="AE5242" s="340"/>
      <c r="AI5242" s="340"/>
      <c r="AN5242" s="340"/>
      <c r="AO5242" s="340"/>
      <c r="AS5242" s="340"/>
      <c r="AX5242" s="340"/>
      <c r="BB5242" s="340"/>
      <c r="BD5242" s="339"/>
    </row>
    <row r="5243" spans="7:56" s="338" customFormat="1">
      <c r="G5243" s="340"/>
      <c r="L5243" s="340"/>
      <c r="P5243" s="340"/>
      <c r="U5243" s="340"/>
      <c r="V5243" s="340"/>
      <c r="Z5243" s="340"/>
      <c r="AE5243" s="340"/>
      <c r="AI5243" s="340"/>
      <c r="AN5243" s="340"/>
      <c r="AO5243" s="340"/>
      <c r="AS5243" s="340"/>
      <c r="AX5243" s="340"/>
      <c r="BB5243" s="340"/>
      <c r="BD5243" s="339"/>
    </row>
    <row r="5244" spans="7:56" s="338" customFormat="1">
      <c r="G5244" s="340"/>
      <c r="L5244" s="340"/>
      <c r="P5244" s="340"/>
      <c r="U5244" s="340"/>
      <c r="V5244" s="340"/>
      <c r="Z5244" s="340"/>
      <c r="AE5244" s="340"/>
      <c r="AI5244" s="340"/>
      <c r="AN5244" s="340"/>
      <c r="AO5244" s="340"/>
      <c r="AS5244" s="340"/>
      <c r="AX5244" s="340"/>
      <c r="BB5244" s="340"/>
      <c r="BD5244" s="339"/>
    </row>
    <row r="5245" spans="7:56" s="338" customFormat="1">
      <c r="G5245" s="340"/>
      <c r="L5245" s="340"/>
      <c r="P5245" s="340"/>
      <c r="U5245" s="340"/>
      <c r="V5245" s="340"/>
      <c r="Z5245" s="340"/>
      <c r="AE5245" s="340"/>
      <c r="AI5245" s="340"/>
      <c r="AN5245" s="340"/>
      <c r="AO5245" s="340"/>
      <c r="AS5245" s="340"/>
      <c r="AX5245" s="340"/>
      <c r="BB5245" s="340"/>
      <c r="BD5245" s="339"/>
    </row>
    <row r="5246" spans="7:56" s="338" customFormat="1">
      <c r="G5246" s="340"/>
      <c r="L5246" s="340"/>
      <c r="P5246" s="340"/>
      <c r="U5246" s="340"/>
      <c r="V5246" s="340"/>
      <c r="Z5246" s="340"/>
      <c r="AE5246" s="340"/>
      <c r="AI5246" s="340"/>
      <c r="AN5246" s="340"/>
      <c r="AO5246" s="340"/>
      <c r="AS5246" s="340"/>
      <c r="AX5246" s="340"/>
      <c r="BB5246" s="340"/>
      <c r="BD5246" s="339"/>
    </row>
    <row r="5247" spans="7:56" s="338" customFormat="1">
      <c r="G5247" s="340"/>
      <c r="L5247" s="340"/>
      <c r="P5247" s="340"/>
      <c r="U5247" s="340"/>
      <c r="V5247" s="340"/>
      <c r="Z5247" s="340"/>
      <c r="AE5247" s="340"/>
      <c r="AI5247" s="340"/>
      <c r="AN5247" s="340"/>
      <c r="AO5247" s="340"/>
      <c r="AS5247" s="340"/>
      <c r="AX5247" s="340"/>
      <c r="BB5247" s="340"/>
      <c r="BD5247" s="339"/>
    </row>
    <row r="5248" spans="7:56" s="338" customFormat="1">
      <c r="G5248" s="340"/>
      <c r="L5248" s="340"/>
      <c r="P5248" s="340"/>
      <c r="U5248" s="340"/>
      <c r="V5248" s="340"/>
      <c r="Z5248" s="340"/>
      <c r="AE5248" s="340"/>
      <c r="AI5248" s="340"/>
      <c r="AN5248" s="340"/>
      <c r="AO5248" s="340"/>
      <c r="AS5248" s="340"/>
      <c r="AX5248" s="340"/>
      <c r="BB5248" s="340"/>
      <c r="BD5248" s="339"/>
    </row>
    <row r="5249" spans="7:56" s="338" customFormat="1">
      <c r="G5249" s="340"/>
      <c r="L5249" s="340"/>
      <c r="P5249" s="340"/>
      <c r="U5249" s="340"/>
      <c r="V5249" s="340"/>
      <c r="Z5249" s="340"/>
      <c r="AE5249" s="340"/>
      <c r="AI5249" s="340"/>
      <c r="AN5249" s="340"/>
      <c r="AO5249" s="340"/>
      <c r="AS5249" s="340"/>
      <c r="AX5249" s="340"/>
      <c r="BB5249" s="340"/>
      <c r="BD5249" s="339"/>
    </row>
    <row r="5250" spans="7:56" s="338" customFormat="1">
      <c r="G5250" s="340"/>
      <c r="L5250" s="340"/>
      <c r="P5250" s="340"/>
      <c r="U5250" s="340"/>
      <c r="V5250" s="340"/>
      <c r="Z5250" s="340"/>
      <c r="AE5250" s="340"/>
      <c r="AI5250" s="340"/>
      <c r="AN5250" s="340"/>
      <c r="AO5250" s="340"/>
      <c r="AS5250" s="340"/>
      <c r="AX5250" s="340"/>
      <c r="BB5250" s="340"/>
      <c r="BD5250" s="339"/>
    </row>
    <row r="5251" spans="7:56" s="338" customFormat="1">
      <c r="G5251" s="340"/>
      <c r="L5251" s="340"/>
      <c r="P5251" s="340"/>
      <c r="U5251" s="340"/>
      <c r="V5251" s="340"/>
      <c r="Z5251" s="340"/>
      <c r="AE5251" s="340"/>
      <c r="AI5251" s="340"/>
      <c r="AN5251" s="340"/>
      <c r="AO5251" s="340"/>
      <c r="AS5251" s="340"/>
      <c r="AX5251" s="340"/>
      <c r="BB5251" s="340"/>
      <c r="BD5251" s="339"/>
    </row>
    <row r="5252" spans="7:56" s="338" customFormat="1">
      <c r="G5252" s="340"/>
      <c r="L5252" s="340"/>
      <c r="P5252" s="340"/>
      <c r="U5252" s="340"/>
      <c r="V5252" s="340"/>
      <c r="Z5252" s="340"/>
      <c r="AE5252" s="340"/>
      <c r="AI5252" s="340"/>
      <c r="AN5252" s="340"/>
      <c r="AO5252" s="340"/>
      <c r="AS5252" s="340"/>
      <c r="AX5252" s="340"/>
      <c r="BB5252" s="340"/>
      <c r="BD5252" s="339"/>
    </row>
    <row r="5253" spans="7:56" s="338" customFormat="1">
      <c r="G5253" s="340"/>
      <c r="L5253" s="340"/>
      <c r="P5253" s="340"/>
      <c r="U5253" s="340"/>
      <c r="V5253" s="340"/>
      <c r="Z5253" s="340"/>
      <c r="AE5253" s="340"/>
      <c r="AI5253" s="340"/>
      <c r="AN5253" s="340"/>
      <c r="AO5253" s="340"/>
      <c r="AS5253" s="340"/>
      <c r="AX5253" s="340"/>
      <c r="BB5253" s="340"/>
      <c r="BD5253" s="339"/>
    </row>
    <row r="5254" spans="7:56" s="338" customFormat="1">
      <c r="G5254" s="340"/>
      <c r="L5254" s="340"/>
      <c r="P5254" s="340"/>
      <c r="U5254" s="340"/>
      <c r="V5254" s="340"/>
      <c r="Z5254" s="340"/>
      <c r="AE5254" s="340"/>
      <c r="AI5254" s="340"/>
      <c r="AN5254" s="340"/>
      <c r="AO5254" s="340"/>
      <c r="AS5254" s="340"/>
      <c r="AX5254" s="340"/>
      <c r="BB5254" s="340"/>
      <c r="BD5254" s="339"/>
    </row>
    <row r="5255" spans="7:56" s="338" customFormat="1">
      <c r="G5255" s="340"/>
      <c r="L5255" s="340"/>
      <c r="P5255" s="340"/>
      <c r="U5255" s="340"/>
      <c r="V5255" s="340"/>
      <c r="Z5255" s="340"/>
      <c r="AE5255" s="340"/>
      <c r="AI5255" s="340"/>
      <c r="AN5255" s="340"/>
      <c r="AO5255" s="340"/>
      <c r="AS5255" s="340"/>
      <c r="AX5255" s="340"/>
      <c r="BB5255" s="340"/>
      <c r="BD5255" s="339"/>
    </row>
    <row r="5256" spans="7:56" s="338" customFormat="1">
      <c r="G5256" s="340"/>
      <c r="L5256" s="340"/>
      <c r="P5256" s="340"/>
      <c r="U5256" s="340"/>
      <c r="V5256" s="340"/>
      <c r="Z5256" s="340"/>
      <c r="AE5256" s="340"/>
      <c r="AI5256" s="340"/>
      <c r="AN5256" s="340"/>
      <c r="AO5256" s="340"/>
      <c r="AS5256" s="340"/>
      <c r="AX5256" s="340"/>
      <c r="BB5256" s="340"/>
      <c r="BD5256" s="339"/>
    </row>
    <row r="5257" spans="7:56" s="338" customFormat="1">
      <c r="G5257" s="340"/>
      <c r="L5257" s="340"/>
      <c r="P5257" s="340"/>
      <c r="U5257" s="340"/>
      <c r="V5257" s="340"/>
      <c r="Z5257" s="340"/>
      <c r="AE5257" s="340"/>
      <c r="AI5257" s="340"/>
      <c r="AN5257" s="340"/>
      <c r="AO5257" s="340"/>
      <c r="AS5257" s="340"/>
      <c r="AX5257" s="340"/>
      <c r="BB5257" s="340"/>
      <c r="BD5257" s="339"/>
    </row>
    <row r="5258" spans="7:56" s="338" customFormat="1">
      <c r="G5258" s="340"/>
      <c r="L5258" s="340"/>
      <c r="P5258" s="340"/>
      <c r="U5258" s="340"/>
      <c r="V5258" s="340"/>
      <c r="Z5258" s="340"/>
      <c r="AE5258" s="340"/>
      <c r="AI5258" s="340"/>
      <c r="AN5258" s="340"/>
      <c r="AO5258" s="340"/>
      <c r="AS5258" s="340"/>
      <c r="AX5258" s="340"/>
      <c r="BB5258" s="340"/>
      <c r="BD5258" s="339"/>
    </row>
    <row r="5259" spans="7:56" s="338" customFormat="1">
      <c r="G5259" s="340"/>
      <c r="L5259" s="340"/>
      <c r="P5259" s="340"/>
      <c r="U5259" s="340"/>
      <c r="V5259" s="340"/>
      <c r="Z5259" s="340"/>
      <c r="AE5259" s="340"/>
      <c r="AI5259" s="340"/>
      <c r="AN5259" s="340"/>
      <c r="AO5259" s="340"/>
      <c r="AS5259" s="340"/>
      <c r="AX5259" s="340"/>
      <c r="BB5259" s="340"/>
      <c r="BD5259" s="339"/>
    </row>
    <row r="5260" spans="7:56" s="338" customFormat="1">
      <c r="G5260" s="340"/>
      <c r="L5260" s="340"/>
      <c r="P5260" s="340"/>
      <c r="U5260" s="340"/>
      <c r="V5260" s="340"/>
      <c r="Z5260" s="340"/>
      <c r="AE5260" s="340"/>
      <c r="AI5260" s="340"/>
      <c r="AN5260" s="340"/>
      <c r="AO5260" s="340"/>
      <c r="AS5260" s="340"/>
      <c r="AX5260" s="340"/>
      <c r="BB5260" s="340"/>
      <c r="BD5260" s="339"/>
    </row>
    <row r="5261" spans="7:56" s="338" customFormat="1">
      <c r="G5261" s="340"/>
      <c r="L5261" s="340"/>
      <c r="P5261" s="340"/>
      <c r="U5261" s="340"/>
      <c r="V5261" s="340"/>
      <c r="Z5261" s="340"/>
      <c r="AE5261" s="340"/>
      <c r="AI5261" s="340"/>
      <c r="AN5261" s="340"/>
      <c r="AO5261" s="340"/>
      <c r="AS5261" s="340"/>
      <c r="AX5261" s="340"/>
      <c r="BB5261" s="340"/>
      <c r="BD5261" s="339"/>
    </row>
    <row r="5262" spans="7:56" s="338" customFormat="1">
      <c r="G5262" s="340"/>
      <c r="L5262" s="340"/>
      <c r="P5262" s="340"/>
      <c r="U5262" s="340"/>
      <c r="V5262" s="340"/>
      <c r="Z5262" s="340"/>
      <c r="AE5262" s="340"/>
      <c r="AI5262" s="340"/>
      <c r="AN5262" s="340"/>
      <c r="AO5262" s="340"/>
      <c r="AS5262" s="340"/>
      <c r="AX5262" s="340"/>
      <c r="BB5262" s="340"/>
      <c r="BD5262" s="339"/>
    </row>
    <row r="5263" spans="7:56" s="338" customFormat="1">
      <c r="G5263" s="340"/>
      <c r="L5263" s="340"/>
      <c r="P5263" s="340"/>
      <c r="U5263" s="340"/>
      <c r="V5263" s="340"/>
      <c r="Z5263" s="340"/>
      <c r="AE5263" s="340"/>
      <c r="AI5263" s="340"/>
      <c r="AN5263" s="340"/>
      <c r="AO5263" s="340"/>
      <c r="AS5263" s="340"/>
      <c r="AX5263" s="340"/>
      <c r="BB5263" s="340"/>
      <c r="BD5263" s="339"/>
    </row>
    <row r="5264" spans="7:56" s="338" customFormat="1">
      <c r="G5264" s="340"/>
      <c r="L5264" s="340"/>
      <c r="P5264" s="340"/>
      <c r="U5264" s="340"/>
      <c r="V5264" s="340"/>
      <c r="Z5264" s="340"/>
      <c r="AE5264" s="340"/>
      <c r="AI5264" s="340"/>
      <c r="AN5264" s="340"/>
      <c r="AO5264" s="340"/>
      <c r="AS5264" s="340"/>
      <c r="AX5264" s="340"/>
      <c r="BB5264" s="340"/>
      <c r="BD5264" s="339"/>
    </row>
    <row r="5265" spans="7:56" s="338" customFormat="1">
      <c r="G5265" s="340"/>
      <c r="L5265" s="340"/>
      <c r="P5265" s="340"/>
      <c r="U5265" s="340"/>
      <c r="V5265" s="340"/>
      <c r="Z5265" s="340"/>
      <c r="AE5265" s="340"/>
      <c r="AI5265" s="340"/>
      <c r="AN5265" s="340"/>
      <c r="AO5265" s="340"/>
      <c r="AS5265" s="340"/>
      <c r="AX5265" s="340"/>
      <c r="BB5265" s="340"/>
      <c r="BD5265" s="339"/>
    </row>
    <row r="5266" spans="7:56" s="338" customFormat="1">
      <c r="G5266" s="340"/>
      <c r="L5266" s="340"/>
      <c r="P5266" s="340"/>
      <c r="U5266" s="340"/>
      <c r="V5266" s="340"/>
      <c r="Z5266" s="340"/>
      <c r="AE5266" s="340"/>
      <c r="AI5266" s="340"/>
      <c r="AN5266" s="340"/>
      <c r="AO5266" s="340"/>
      <c r="AS5266" s="340"/>
      <c r="AX5266" s="340"/>
      <c r="BB5266" s="340"/>
      <c r="BD5266" s="339"/>
    </row>
    <row r="5267" spans="7:56" s="338" customFormat="1">
      <c r="G5267" s="340"/>
      <c r="L5267" s="340"/>
      <c r="P5267" s="340"/>
      <c r="U5267" s="340"/>
      <c r="V5267" s="340"/>
      <c r="Z5267" s="340"/>
      <c r="AE5267" s="340"/>
      <c r="AI5267" s="340"/>
      <c r="AN5267" s="340"/>
      <c r="AO5267" s="340"/>
      <c r="AS5267" s="340"/>
      <c r="AX5267" s="340"/>
      <c r="BB5267" s="340"/>
      <c r="BD5267" s="339"/>
    </row>
    <row r="5268" spans="7:56" s="338" customFormat="1">
      <c r="G5268" s="340"/>
      <c r="L5268" s="340"/>
      <c r="P5268" s="340"/>
      <c r="U5268" s="340"/>
      <c r="V5268" s="340"/>
      <c r="Z5268" s="340"/>
      <c r="AE5268" s="340"/>
      <c r="AI5268" s="340"/>
      <c r="AN5268" s="340"/>
      <c r="AO5268" s="340"/>
      <c r="AS5268" s="340"/>
      <c r="AX5268" s="340"/>
      <c r="BB5268" s="340"/>
      <c r="BD5268" s="339"/>
    </row>
    <row r="5269" spans="7:56" s="338" customFormat="1">
      <c r="G5269" s="340"/>
      <c r="L5269" s="340"/>
      <c r="P5269" s="340"/>
      <c r="U5269" s="340"/>
      <c r="V5269" s="340"/>
      <c r="Z5269" s="340"/>
      <c r="AE5269" s="340"/>
      <c r="AI5269" s="340"/>
      <c r="AN5269" s="340"/>
      <c r="AO5269" s="340"/>
      <c r="AS5269" s="340"/>
      <c r="AX5269" s="340"/>
      <c r="BB5269" s="340"/>
      <c r="BD5269" s="339"/>
    </row>
    <row r="5270" spans="7:56" s="338" customFormat="1">
      <c r="G5270" s="340"/>
      <c r="L5270" s="340"/>
      <c r="P5270" s="340"/>
      <c r="U5270" s="340"/>
      <c r="V5270" s="340"/>
      <c r="Z5270" s="340"/>
      <c r="AE5270" s="340"/>
      <c r="AI5270" s="340"/>
      <c r="AN5270" s="340"/>
      <c r="AO5270" s="340"/>
      <c r="AS5270" s="340"/>
      <c r="AX5270" s="340"/>
      <c r="BB5270" s="340"/>
      <c r="BD5270" s="339"/>
    </row>
    <row r="5271" spans="7:56" s="338" customFormat="1">
      <c r="G5271" s="340"/>
      <c r="L5271" s="340"/>
      <c r="P5271" s="340"/>
      <c r="U5271" s="340"/>
      <c r="V5271" s="340"/>
      <c r="Z5271" s="340"/>
      <c r="AE5271" s="340"/>
      <c r="AI5271" s="340"/>
      <c r="AN5271" s="340"/>
      <c r="AO5271" s="340"/>
      <c r="AS5271" s="340"/>
      <c r="AX5271" s="340"/>
      <c r="BB5271" s="340"/>
      <c r="BD5271" s="339"/>
    </row>
    <row r="5272" spans="7:56" s="338" customFormat="1">
      <c r="G5272" s="340"/>
      <c r="L5272" s="340"/>
      <c r="P5272" s="340"/>
      <c r="U5272" s="340"/>
      <c r="V5272" s="340"/>
      <c r="Z5272" s="340"/>
      <c r="AE5272" s="340"/>
      <c r="AI5272" s="340"/>
      <c r="AN5272" s="340"/>
      <c r="AO5272" s="340"/>
      <c r="AS5272" s="340"/>
      <c r="AX5272" s="340"/>
      <c r="BB5272" s="340"/>
      <c r="BD5272" s="339"/>
    </row>
    <row r="5273" spans="7:56" s="338" customFormat="1">
      <c r="G5273" s="340"/>
      <c r="L5273" s="340"/>
      <c r="P5273" s="340"/>
      <c r="U5273" s="340"/>
      <c r="V5273" s="340"/>
      <c r="Z5273" s="340"/>
      <c r="AE5273" s="340"/>
      <c r="AI5273" s="340"/>
      <c r="AN5273" s="340"/>
      <c r="AO5273" s="340"/>
      <c r="AS5273" s="340"/>
      <c r="AX5273" s="340"/>
      <c r="BB5273" s="340"/>
      <c r="BD5273" s="339"/>
    </row>
    <row r="5274" spans="7:56" s="338" customFormat="1">
      <c r="G5274" s="340"/>
      <c r="L5274" s="340"/>
      <c r="P5274" s="340"/>
      <c r="U5274" s="340"/>
      <c r="V5274" s="340"/>
      <c r="Z5274" s="340"/>
      <c r="AE5274" s="340"/>
      <c r="AI5274" s="340"/>
      <c r="AN5274" s="340"/>
      <c r="AO5274" s="340"/>
      <c r="AS5274" s="340"/>
      <c r="AX5274" s="340"/>
      <c r="BB5274" s="340"/>
      <c r="BD5274" s="339"/>
    </row>
    <row r="5275" spans="7:56" s="338" customFormat="1">
      <c r="G5275" s="340"/>
      <c r="L5275" s="340"/>
      <c r="P5275" s="340"/>
      <c r="U5275" s="340"/>
      <c r="V5275" s="340"/>
      <c r="Z5275" s="340"/>
      <c r="AE5275" s="340"/>
      <c r="AI5275" s="340"/>
      <c r="AN5275" s="340"/>
      <c r="AO5275" s="340"/>
      <c r="AS5275" s="340"/>
      <c r="AX5275" s="340"/>
      <c r="BB5275" s="340"/>
      <c r="BD5275" s="339"/>
    </row>
    <row r="5276" spans="7:56" s="338" customFormat="1">
      <c r="G5276" s="340"/>
      <c r="L5276" s="340"/>
      <c r="P5276" s="340"/>
      <c r="U5276" s="340"/>
      <c r="V5276" s="340"/>
      <c r="Z5276" s="340"/>
      <c r="AE5276" s="340"/>
      <c r="AI5276" s="340"/>
      <c r="AN5276" s="340"/>
      <c r="AO5276" s="340"/>
      <c r="AS5276" s="340"/>
      <c r="AX5276" s="340"/>
      <c r="BB5276" s="340"/>
      <c r="BD5276" s="339"/>
    </row>
    <row r="5277" spans="7:56" s="338" customFormat="1">
      <c r="G5277" s="340"/>
      <c r="L5277" s="340"/>
      <c r="P5277" s="340"/>
      <c r="U5277" s="340"/>
      <c r="V5277" s="340"/>
      <c r="Z5277" s="340"/>
      <c r="AE5277" s="340"/>
      <c r="AI5277" s="340"/>
      <c r="AN5277" s="340"/>
      <c r="AO5277" s="340"/>
      <c r="AS5277" s="340"/>
      <c r="AX5277" s="340"/>
      <c r="BB5277" s="340"/>
      <c r="BD5277" s="339"/>
    </row>
    <row r="5278" spans="7:56" s="338" customFormat="1">
      <c r="G5278" s="340"/>
      <c r="L5278" s="340"/>
      <c r="P5278" s="340"/>
      <c r="U5278" s="340"/>
      <c r="V5278" s="340"/>
      <c r="Z5278" s="340"/>
      <c r="AE5278" s="340"/>
      <c r="AI5278" s="340"/>
      <c r="AN5278" s="340"/>
      <c r="AO5278" s="340"/>
      <c r="AS5278" s="340"/>
      <c r="AX5278" s="340"/>
      <c r="BB5278" s="340"/>
      <c r="BD5278" s="339"/>
    </row>
    <row r="5279" spans="7:56" s="338" customFormat="1">
      <c r="G5279" s="340"/>
      <c r="L5279" s="340"/>
      <c r="P5279" s="340"/>
      <c r="U5279" s="340"/>
      <c r="V5279" s="340"/>
      <c r="Z5279" s="340"/>
      <c r="AE5279" s="340"/>
      <c r="AI5279" s="340"/>
      <c r="AN5279" s="340"/>
      <c r="AO5279" s="340"/>
      <c r="AS5279" s="340"/>
      <c r="AX5279" s="340"/>
      <c r="BB5279" s="340"/>
      <c r="BD5279" s="339"/>
    </row>
    <row r="5280" spans="7:56" s="338" customFormat="1">
      <c r="G5280" s="340"/>
      <c r="L5280" s="340"/>
      <c r="P5280" s="340"/>
      <c r="U5280" s="340"/>
      <c r="V5280" s="340"/>
      <c r="Z5280" s="340"/>
      <c r="AE5280" s="340"/>
      <c r="AI5280" s="340"/>
      <c r="AN5280" s="340"/>
      <c r="AO5280" s="340"/>
      <c r="AS5280" s="340"/>
      <c r="AX5280" s="340"/>
      <c r="BB5280" s="340"/>
      <c r="BD5280" s="339"/>
    </row>
    <row r="5281" spans="7:56" s="338" customFormat="1">
      <c r="G5281" s="340"/>
      <c r="L5281" s="340"/>
      <c r="P5281" s="340"/>
      <c r="U5281" s="340"/>
      <c r="V5281" s="340"/>
      <c r="Z5281" s="340"/>
      <c r="AE5281" s="340"/>
      <c r="AI5281" s="340"/>
      <c r="AN5281" s="340"/>
      <c r="AO5281" s="340"/>
      <c r="AS5281" s="340"/>
      <c r="AX5281" s="340"/>
      <c r="BB5281" s="340"/>
      <c r="BD5281" s="339"/>
    </row>
    <row r="5282" spans="7:56" s="338" customFormat="1">
      <c r="G5282" s="340"/>
      <c r="L5282" s="340"/>
      <c r="P5282" s="340"/>
      <c r="U5282" s="340"/>
      <c r="V5282" s="340"/>
      <c r="Z5282" s="340"/>
      <c r="AE5282" s="340"/>
      <c r="AI5282" s="340"/>
      <c r="AN5282" s="340"/>
      <c r="AO5282" s="340"/>
      <c r="AS5282" s="340"/>
      <c r="AX5282" s="340"/>
      <c r="BB5282" s="340"/>
      <c r="BD5282" s="339"/>
    </row>
    <row r="5283" spans="7:56" s="338" customFormat="1">
      <c r="G5283" s="340"/>
      <c r="L5283" s="340"/>
      <c r="P5283" s="340"/>
      <c r="U5283" s="340"/>
      <c r="V5283" s="340"/>
      <c r="Z5283" s="340"/>
      <c r="AE5283" s="340"/>
      <c r="AI5283" s="340"/>
      <c r="AN5283" s="340"/>
      <c r="AO5283" s="340"/>
      <c r="AS5283" s="340"/>
      <c r="AX5283" s="340"/>
      <c r="BB5283" s="340"/>
      <c r="BD5283" s="339"/>
    </row>
    <row r="5284" spans="7:56" s="338" customFormat="1">
      <c r="G5284" s="340"/>
      <c r="L5284" s="340"/>
      <c r="P5284" s="340"/>
      <c r="U5284" s="340"/>
      <c r="V5284" s="340"/>
      <c r="Z5284" s="340"/>
      <c r="AE5284" s="340"/>
      <c r="AI5284" s="340"/>
      <c r="AN5284" s="340"/>
      <c r="AO5284" s="340"/>
      <c r="AS5284" s="340"/>
      <c r="AX5284" s="340"/>
      <c r="BB5284" s="340"/>
      <c r="BD5284" s="339"/>
    </row>
    <row r="5285" spans="7:56" s="338" customFormat="1">
      <c r="G5285" s="340"/>
      <c r="L5285" s="340"/>
      <c r="P5285" s="340"/>
      <c r="U5285" s="340"/>
      <c r="V5285" s="340"/>
      <c r="Z5285" s="340"/>
      <c r="AE5285" s="340"/>
      <c r="AI5285" s="340"/>
      <c r="AN5285" s="340"/>
      <c r="AO5285" s="340"/>
      <c r="AS5285" s="340"/>
      <c r="AX5285" s="340"/>
      <c r="BB5285" s="340"/>
      <c r="BD5285" s="339"/>
    </row>
    <row r="5286" spans="7:56" s="338" customFormat="1">
      <c r="G5286" s="340"/>
      <c r="L5286" s="340"/>
      <c r="P5286" s="340"/>
      <c r="U5286" s="340"/>
      <c r="V5286" s="340"/>
      <c r="Z5286" s="340"/>
      <c r="AE5286" s="340"/>
      <c r="AI5286" s="340"/>
      <c r="AN5286" s="340"/>
      <c r="AO5286" s="340"/>
      <c r="AS5286" s="340"/>
      <c r="AX5286" s="340"/>
      <c r="BB5286" s="340"/>
      <c r="BD5286" s="339"/>
    </row>
    <row r="5287" spans="7:56" s="338" customFormat="1">
      <c r="G5287" s="340"/>
      <c r="L5287" s="340"/>
      <c r="P5287" s="340"/>
      <c r="U5287" s="340"/>
      <c r="V5287" s="340"/>
      <c r="Z5287" s="340"/>
      <c r="AE5287" s="340"/>
      <c r="AI5287" s="340"/>
      <c r="AN5287" s="340"/>
      <c r="AO5287" s="340"/>
      <c r="AS5287" s="340"/>
      <c r="AX5287" s="340"/>
      <c r="BB5287" s="340"/>
      <c r="BD5287" s="339"/>
    </row>
    <row r="5288" spans="7:56" s="338" customFormat="1">
      <c r="G5288" s="340"/>
      <c r="L5288" s="340"/>
      <c r="P5288" s="340"/>
      <c r="U5288" s="340"/>
      <c r="V5288" s="340"/>
      <c r="Z5288" s="340"/>
      <c r="AE5288" s="340"/>
      <c r="AI5288" s="340"/>
      <c r="AN5288" s="340"/>
      <c r="AO5288" s="340"/>
      <c r="AS5288" s="340"/>
      <c r="AX5288" s="340"/>
      <c r="BB5288" s="340"/>
      <c r="BD5288" s="339"/>
    </row>
    <row r="5289" spans="7:56" s="338" customFormat="1">
      <c r="G5289" s="340"/>
      <c r="L5289" s="340"/>
      <c r="P5289" s="340"/>
      <c r="U5289" s="340"/>
      <c r="V5289" s="340"/>
      <c r="Z5289" s="340"/>
      <c r="AE5289" s="340"/>
      <c r="AI5289" s="340"/>
      <c r="AN5289" s="340"/>
      <c r="AO5289" s="340"/>
      <c r="AS5289" s="340"/>
      <c r="AX5289" s="340"/>
      <c r="BB5289" s="340"/>
      <c r="BD5289" s="339"/>
    </row>
    <row r="5290" spans="7:56" s="338" customFormat="1">
      <c r="G5290" s="340"/>
      <c r="L5290" s="340"/>
      <c r="P5290" s="340"/>
      <c r="U5290" s="340"/>
      <c r="V5290" s="340"/>
      <c r="Z5290" s="340"/>
      <c r="AE5290" s="340"/>
      <c r="AI5290" s="340"/>
      <c r="AN5290" s="340"/>
      <c r="AO5290" s="340"/>
      <c r="AS5290" s="340"/>
      <c r="AX5290" s="340"/>
      <c r="BB5290" s="340"/>
      <c r="BD5290" s="339"/>
    </row>
    <row r="5291" spans="7:56" s="338" customFormat="1">
      <c r="G5291" s="340"/>
      <c r="L5291" s="340"/>
      <c r="P5291" s="340"/>
      <c r="U5291" s="340"/>
      <c r="V5291" s="340"/>
      <c r="Z5291" s="340"/>
      <c r="AE5291" s="340"/>
      <c r="AI5291" s="340"/>
      <c r="AN5291" s="340"/>
      <c r="AO5291" s="340"/>
      <c r="AS5291" s="340"/>
      <c r="AX5291" s="340"/>
      <c r="BB5291" s="340"/>
      <c r="BD5291" s="339"/>
    </row>
    <row r="5292" spans="7:56" s="338" customFormat="1">
      <c r="G5292" s="340"/>
      <c r="L5292" s="340"/>
      <c r="P5292" s="340"/>
      <c r="U5292" s="340"/>
      <c r="V5292" s="340"/>
      <c r="Z5292" s="340"/>
      <c r="AE5292" s="340"/>
      <c r="AI5292" s="340"/>
      <c r="AN5292" s="340"/>
      <c r="AO5292" s="340"/>
      <c r="AS5292" s="340"/>
      <c r="AX5292" s="340"/>
      <c r="BB5292" s="340"/>
      <c r="BD5292" s="339"/>
    </row>
    <row r="5293" spans="7:56" s="338" customFormat="1">
      <c r="G5293" s="340"/>
      <c r="L5293" s="340"/>
      <c r="P5293" s="340"/>
      <c r="U5293" s="340"/>
      <c r="V5293" s="340"/>
      <c r="Z5293" s="340"/>
      <c r="AE5293" s="340"/>
      <c r="AI5293" s="340"/>
      <c r="AN5293" s="340"/>
      <c r="AO5293" s="340"/>
      <c r="AS5293" s="340"/>
      <c r="AX5293" s="340"/>
      <c r="BB5293" s="340"/>
      <c r="BD5293" s="339"/>
    </row>
    <row r="5294" spans="7:56" s="338" customFormat="1">
      <c r="G5294" s="340"/>
      <c r="L5294" s="340"/>
      <c r="P5294" s="340"/>
      <c r="U5294" s="340"/>
      <c r="V5294" s="340"/>
      <c r="Z5294" s="340"/>
      <c r="AE5294" s="340"/>
      <c r="AI5294" s="340"/>
      <c r="AN5294" s="340"/>
      <c r="AO5294" s="340"/>
      <c r="AS5294" s="340"/>
      <c r="AX5294" s="340"/>
      <c r="BB5294" s="340"/>
      <c r="BD5294" s="339"/>
    </row>
    <row r="5295" spans="7:56" s="338" customFormat="1">
      <c r="G5295" s="340"/>
      <c r="L5295" s="340"/>
      <c r="P5295" s="340"/>
      <c r="U5295" s="340"/>
      <c r="V5295" s="340"/>
      <c r="Z5295" s="340"/>
      <c r="AE5295" s="340"/>
      <c r="AI5295" s="340"/>
      <c r="AN5295" s="340"/>
      <c r="AO5295" s="340"/>
      <c r="AS5295" s="340"/>
      <c r="AX5295" s="340"/>
      <c r="BB5295" s="340"/>
      <c r="BD5295" s="339"/>
    </row>
    <row r="5296" spans="7:56" s="338" customFormat="1">
      <c r="G5296" s="340"/>
      <c r="L5296" s="340"/>
      <c r="P5296" s="340"/>
      <c r="U5296" s="340"/>
      <c r="V5296" s="340"/>
      <c r="Z5296" s="340"/>
      <c r="AE5296" s="340"/>
      <c r="AI5296" s="340"/>
      <c r="AN5296" s="340"/>
      <c r="AO5296" s="340"/>
      <c r="AS5296" s="340"/>
      <c r="AX5296" s="340"/>
      <c r="BB5296" s="340"/>
      <c r="BD5296" s="339"/>
    </row>
    <row r="5297" spans="7:56" s="338" customFormat="1">
      <c r="G5297" s="340"/>
      <c r="L5297" s="340"/>
      <c r="P5297" s="340"/>
      <c r="U5297" s="340"/>
      <c r="V5297" s="340"/>
      <c r="Z5297" s="340"/>
      <c r="AE5297" s="340"/>
      <c r="AI5297" s="340"/>
      <c r="AN5297" s="340"/>
      <c r="AO5297" s="340"/>
      <c r="AS5297" s="340"/>
      <c r="AX5297" s="340"/>
      <c r="BB5297" s="340"/>
      <c r="BD5297" s="339"/>
    </row>
    <row r="5298" spans="7:56" s="338" customFormat="1">
      <c r="G5298" s="340"/>
      <c r="L5298" s="340"/>
      <c r="P5298" s="340"/>
      <c r="U5298" s="340"/>
      <c r="V5298" s="340"/>
      <c r="Z5298" s="340"/>
      <c r="AE5298" s="340"/>
      <c r="AI5298" s="340"/>
      <c r="AN5298" s="340"/>
      <c r="AO5298" s="340"/>
      <c r="AS5298" s="340"/>
      <c r="AX5298" s="340"/>
      <c r="BB5298" s="340"/>
      <c r="BD5298" s="339"/>
    </row>
    <row r="5299" spans="7:56" s="338" customFormat="1">
      <c r="G5299" s="340"/>
      <c r="L5299" s="340"/>
      <c r="P5299" s="340"/>
      <c r="U5299" s="340"/>
      <c r="V5299" s="340"/>
      <c r="Z5299" s="340"/>
      <c r="AE5299" s="340"/>
      <c r="AI5299" s="340"/>
      <c r="AN5299" s="340"/>
      <c r="AO5299" s="340"/>
      <c r="AS5299" s="340"/>
      <c r="AX5299" s="340"/>
      <c r="BB5299" s="340"/>
      <c r="BD5299" s="339"/>
    </row>
    <row r="5300" spans="7:56" s="338" customFormat="1">
      <c r="G5300" s="340"/>
      <c r="L5300" s="340"/>
      <c r="P5300" s="340"/>
      <c r="U5300" s="340"/>
      <c r="V5300" s="340"/>
      <c r="Z5300" s="340"/>
      <c r="AE5300" s="340"/>
      <c r="AI5300" s="340"/>
      <c r="AN5300" s="340"/>
      <c r="AO5300" s="340"/>
      <c r="AS5300" s="340"/>
      <c r="AX5300" s="340"/>
      <c r="BB5300" s="340"/>
      <c r="BD5300" s="339"/>
    </row>
    <row r="5301" spans="7:56" s="338" customFormat="1">
      <c r="G5301" s="340"/>
      <c r="L5301" s="340"/>
      <c r="P5301" s="340"/>
      <c r="U5301" s="340"/>
      <c r="V5301" s="340"/>
      <c r="Z5301" s="340"/>
      <c r="AE5301" s="340"/>
      <c r="AI5301" s="340"/>
      <c r="AN5301" s="340"/>
      <c r="AO5301" s="340"/>
      <c r="AS5301" s="340"/>
      <c r="AX5301" s="340"/>
      <c r="BB5301" s="340"/>
      <c r="BD5301" s="339"/>
    </row>
    <row r="5302" spans="7:56" s="338" customFormat="1">
      <c r="G5302" s="340"/>
      <c r="L5302" s="340"/>
      <c r="P5302" s="340"/>
      <c r="U5302" s="340"/>
      <c r="V5302" s="340"/>
      <c r="Z5302" s="340"/>
      <c r="AE5302" s="340"/>
      <c r="AI5302" s="340"/>
      <c r="AN5302" s="340"/>
      <c r="AO5302" s="340"/>
      <c r="AS5302" s="340"/>
      <c r="AX5302" s="340"/>
      <c r="BB5302" s="340"/>
      <c r="BD5302" s="339"/>
    </row>
    <row r="5303" spans="7:56" s="338" customFormat="1">
      <c r="G5303" s="340"/>
      <c r="L5303" s="340"/>
      <c r="P5303" s="340"/>
      <c r="U5303" s="340"/>
      <c r="V5303" s="340"/>
      <c r="Z5303" s="340"/>
      <c r="AE5303" s="340"/>
      <c r="AI5303" s="340"/>
      <c r="AN5303" s="340"/>
      <c r="AO5303" s="340"/>
      <c r="AS5303" s="340"/>
      <c r="AX5303" s="340"/>
      <c r="BB5303" s="340"/>
      <c r="BD5303" s="339"/>
    </row>
    <row r="5304" spans="7:56" s="338" customFormat="1">
      <c r="G5304" s="340"/>
      <c r="L5304" s="340"/>
      <c r="P5304" s="340"/>
      <c r="U5304" s="340"/>
      <c r="V5304" s="340"/>
      <c r="Z5304" s="340"/>
      <c r="AE5304" s="340"/>
      <c r="AI5304" s="340"/>
      <c r="AN5304" s="340"/>
      <c r="AO5304" s="340"/>
      <c r="AS5304" s="340"/>
      <c r="AX5304" s="340"/>
      <c r="BB5304" s="340"/>
      <c r="BD5304" s="339"/>
    </row>
    <row r="5305" spans="7:56" s="338" customFormat="1">
      <c r="G5305" s="340"/>
      <c r="L5305" s="340"/>
      <c r="P5305" s="340"/>
      <c r="U5305" s="340"/>
      <c r="V5305" s="340"/>
      <c r="Z5305" s="340"/>
      <c r="AE5305" s="340"/>
      <c r="AI5305" s="340"/>
      <c r="AN5305" s="340"/>
      <c r="AO5305" s="340"/>
      <c r="AS5305" s="340"/>
      <c r="AX5305" s="340"/>
      <c r="BB5305" s="340"/>
      <c r="BD5305" s="339"/>
    </row>
    <row r="5306" spans="7:56" s="338" customFormat="1">
      <c r="G5306" s="340"/>
      <c r="L5306" s="340"/>
      <c r="P5306" s="340"/>
      <c r="U5306" s="340"/>
      <c r="V5306" s="340"/>
      <c r="Z5306" s="340"/>
      <c r="AE5306" s="340"/>
      <c r="AI5306" s="340"/>
      <c r="AN5306" s="340"/>
      <c r="AO5306" s="340"/>
      <c r="AS5306" s="340"/>
      <c r="AX5306" s="340"/>
      <c r="BB5306" s="340"/>
      <c r="BD5306" s="339"/>
    </row>
    <row r="5307" spans="7:56" s="338" customFormat="1">
      <c r="G5307" s="340"/>
      <c r="L5307" s="340"/>
      <c r="P5307" s="340"/>
      <c r="U5307" s="340"/>
      <c r="V5307" s="340"/>
      <c r="Z5307" s="340"/>
      <c r="AE5307" s="340"/>
      <c r="AI5307" s="340"/>
      <c r="AN5307" s="340"/>
      <c r="AO5307" s="340"/>
      <c r="AS5307" s="340"/>
      <c r="AX5307" s="340"/>
      <c r="BB5307" s="340"/>
      <c r="BD5307" s="339"/>
    </row>
    <row r="5308" spans="7:56" s="338" customFormat="1">
      <c r="G5308" s="340"/>
      <c r="L5308" s="340"/>
      <c r="P5308" s="340"/>
      <c r="U5308" s="340"/>
      <c r="V5308" s="340"/>
      <c r="Z5308" s="340"/>
      <c r="AE5308" s="340"/>
      <c r="AI5308" s="340"/>
      <c r="AN5308" s="340"/>
      <c r="AO5308" s="340"/>
      <c r="AS5308" s="340"/>
      <c r="AX5308" s="340"/>
      <c r="BB5308" s="340"/>
      <c r="BD5308" s="339"/>
    </row>
    <row r="5309" spans="7:56" s="338" customFormat="1">
      <c r="G5309" s="340"/>
      <c r="L5309" s="340"/>
      <c r="P5309" s="340"/>
      <c r="U5309" s="340"/>
      <c r="V5309" s="340"/>
      <c r="Z5309" s="340"/>
      <c r="AE5309" s="340"/>
      <c r="AI5309" s="340"/>
      <c r="AN5309" s="340"/>
      <c r="AO5309" s="340"/>
      <c r="AS5309" s="340"/>
      <c r="AX5309" s="340"/>
      <c r="BB5309" s="340"/>
      <c r="BD5309" s="339"/>
    </row>
    <row r="5310" spans="7:56" s="338" customFormat="1">
      <c r="G5310" s="340"/>
      <c r="L5310" s="340"/>
      <c r="P5310" s="340"/>
      <c r="U5310" s="340"/>
      <c r="V5310" s="340"/>
      <c r="Z5310" s="340"/>
      <c r="AE5310" s="340"/>
      <c r="AI5310" s="340"/>
      <c r="AN5310" s="340"/>
      <c r="AO5310" s="340"/>
      <c r="AS5310" s="340"/>
      <c r="AX5310" s="340"/>
      <c r="BB5310" s="340"/>
      <c r="BD5310" s="339"/>
    </row>
    <row r="5311" spans="7:56" s="338" customFormat="1">
      <c r="G5311" s="340"/>
      <c r="L5311" s="340"/>
      <c r="P5311" s="340"/>
      <c r="U5311" s="340"/>
      <c r="V5311" s="340"/>
      <c r="Z5311" s="340"/>
      <c r="AE5311" s="340"/>
      <c r="AI5311" s="340"/>
      <c r="AN5311" s="340"/>
      <c r="AO5311" s="340"/>
      <c r="AS5311" s="340"/>
      <c r="AX5311" s="340"/>
      <c r="BB5311" s="340"/>
      <c r="BD5311" s="339"/>
    </row>
    <row r="5312" spans="7:56" s="338" customFormat="1">
      <c r="G5312" s="340"/>
      <c r="L5312" s="340"/>
      <c r="P5312" s="340"/>
      <c r="U5312" s="340"/>
      <c r="V5312" s="340"/>
      <c r="Z5312" s="340"/>
      <c r="AE5312" s="340"/>
      <c r="AI5312" s="340"/>
      <c r="AN5312" s="340"/>
      <c r="AO5312" s="340"/>
      <c r="AS5312" s="340"/>
      <c r="AX5312" s="340"/>
      <c r="BB5312" s="340"/>
      <c r="BD5312" s="339"/>
    </row>
    <row r="5313" spans="7:56" s="338" customFormat="1">
      <c r="G5313" s="340"/>
      <c r="L5313" s="340"/>
      <c r="P5313" s="340"/>
      <c r="U5313" s="340"/>
      <c r="V5313" s="340"/>
      <c r="Z5313" s="340"/>
      <c r="AE5313" s="340"/>
      <c r="AI5313" s="340"/>
      <c r="AN5313" s="340"/>
      <c r="AO5313" s="340"/>
      <c r="AS5313" s="340"/>
      <c r="AX5313" s="340"/>
      <c r="BB5313" s="340"/>
      <c r="BD5313" s="339"/>
    </row>
    <row r="5314" spans="7:56" s="338" customFormat="1">
      <c r="G5314" s="340"/>
      <c r="L5314" s="340"/>
      <c r="P5314" s="340"/>
      <c r="U5314" s="340"/>
      <c r="V5314" s="340"/>
      <c r="Z5314" s="340"/>
      <c r="AE5314" s="340"/>
      <c r="AI5314" s="340"/>
      <c r="AN5314" s="340"/>
      <c r="AO5314" s="340"/>
      <c r="AS5314" s="340"/>
      <c r="AX5314" s="340"/>
      <c r="BB5314" s="340"/>
      <c r="BD5314" s="339"/>
    </row>
    <row r="5315" spans="7:56" s="338" customFormat="1">
      <c r="G5315" s="340"/>
      <c r="L5315" s="340"/>
      <c r="P5315" s="340"/>
      <c r="U5315" s="340"/>
      <c r="V5315" s="340"/>
      <c r="Z5315" s="340"/>
      <c r="AE5315" s="340"/>
      <c r="AI5315" s="340"/>
      <c r="AN5315" s="340"/>
      <c r="AO5315" s="340"/>
      <c r="AS5315" s="340"/>
      <c r="AX5315" s="340"/>
      <c r="BB5315" s="340"/>
      <c r="BD5315" s="339"/>
    </row>
    <row r="5316" spans="7:56" s="338" customFormat="1">
      <c r="G5316" s="340"/>
      <c r="L5316" s="340"/>
      <c r="P5316" s="340"/>
      <c r="U5316" s="340"/>
      <c r="V5316" s="340"/>
      <c r="Z5316" s="340"/>
      <c r="AE5316" s="340"/>
      <c r="AI5316" s="340"/>
      <c r="AN5316" s="340"/>
      <c r="AO5316" s="340"/>
      <c r="AS5316" s="340"/>
      <c r="AX5316" s="340"/>
      <c r="BB5316" s="340"/>
      <c r="BD5316" s="339"/>
    </row>
    <row r="5317" spans="7:56" s="338" customFormat="1">
      <c r="G5317" s="340"/>
      <c r="L5317" s="340"/>
      <c r="P5317" s="340"/>
      <c r="U5317" s="340"/>
      <c r="V5317" s="340"/>
      <c r="Z5317" s="340"/>
      <c r="AE5317" s="340"/>
      <c r="AI5317" s="340"/>
      <c r="AN5317" s="340"/>
      <c r="AO5317" s="340"/>
      <c r="AS5317" s="340"/>
      <c r="AX5317" s="340"/>
      <c r="BB5317" s="340"/>
      <c r="BD5317" s="339"/>
    </row>
    <row r="5318" spans="7:56" s="338" customFormat="1">
      <c r="G5318" s="340"/>
      <c r="L5318" s="340"/>
      <c r="P5318" s="340"/>
      <c r="U5318" s="340"/>
      <c r="V5318" s="340"/>
      <c r="Z5318" s="340"/>
      <c r="AE5318" s="340"/>
      <c r="AI5318" s="340"/>
      <c r="AN5318" s="340"/>
      <c r="AO5318" s="340"/>
      <c r="AS5318" s="340"/>
      <c r="AX5318" s="340"/>
      <c r="BB5318" s="340"/>
      <c r="BD5318" s="339"/>
    </row>
    <row r="5319" spans="7:56" s="338" customFormat="1">
      <c r="G5319" s="340"/>
      <c r="L5319" s="340"/>
      <c r="P5319" s="340"/>
      <c r="U5319" s="340"/>
      <c r="V5319" s="340"/>
      <c r="Z5319" s="340"/>
      <c r="AE5319" s="340"/>
      <c r="AI5319" s="340"/>
      <c r="AN5319" s="340"/>
      <c r="AO5319" s="340"/>
      <c r="AS5319" s="340"/>
      <c r="AX5319" s="340"/>
      <c r="BB5319" s="340"/>
      <c r="BD5319" s="339"/>
    </row>
    <row r="5320" spans="7:56" s="338" customFormat="1">
      <c r="G5320" s="340"/>
      <c r="L5320" s="340"/>
      <c r="P5320" s="340"/>
      <c r="U5320" s="340"/>
      <c r="V5320" s="340"/>
      <c r="Z5320" s="340"/>
      <c r="AE5320" s="340"/>
      <c r="AI5320" s="340"/>
      <c r="AN5320" s="340"/>
      <c r="AO5320" s="340"/>
      <c r="AS5320" s="340"/>
      <c r="AX5320" s="340"/>
      <c r="BB5320" s="340"/>
      <c r="BD5320" s="339"/>
    </row>
    <row r="5321" spans="7:56" s="338" customFormat="1">
      <c r="G5321" s="340"/>
      <c r="L5321" s="340"/>
      <c r="P5321" s="340"/>
      <c r="U5321" s="340"/>
      <c r="V5321" s="340"/>
      <c r="Z5321" s="340"/>
      <c r="AE5321" s="340"/>
      <c r="AI5321" s="340"/>
      <c r="AN5321" s="340"/>
      <c r="AO5321" s="340"/>
      <c r="AS5321" s="340"/>
      <c r="AX5321" s="340"/>
      <c r="BB5321" s="340"/>
      <c r="BD5321" s="339"/>
    </row>
    <row r="5322" spans="7:56" s="338" customFormat="1">
      <c r="G5322" s="340"/>
      <c r="L5322" s="340"/>
      <c r="P5322" s="340"/>
      <c r="U5322" s="340"/>
      <c r="V5322" s="340"/>
      <c r="Z5322" s="340"/>
      <c r="AE5322" s="340"/>
      <c r="AI5322" s="340"/>
      <c r="AN5322" s="340"/>
      <c r="AO5322" s="340"/>
      <c r="AS5322" s="340"/>
      <c r="AX5322" s="340"/>
      <c r="BB5322" s="340"/>
      <c r="BD5322" s="339"/>
    </row>
    <row r="5323" spans="7:56" s="338" customFormat="1">
      <c r="G5323" s="340"/>
      <c r="L5323" s="340"/>
      <c r="P5323" s="340"/>
      <c r="U5323" s="340"/>
      <c r="V5323" s="340"/>
      <c r="Z5323" s="340"/>
      <c r="AE5323" s="340"/>
      <c r="AI5323" s="340"/>
      <c r="AN5323" s="340"/>
      <c r="AO5323" s="340"/>
      <c r="AS5323" s="340"/>
      <c r="AX5323" s="340"/>
      <c r="BB5323" s="340"/>
      <c r="BD5323" s="339"/>
    </row>
    <row r="5324" spans="7:56" s="338" customFormat="1">
      <c r="G5324" s="340"/>
      <c r="L5324" s="340"/>
      <c r="P5324" s="340"/>
      <c r="U5324" s="340"/>
      <c r="V5324" s="340"/>
      <c r="Z5324" s="340"/>
      <c r="AE5324" s="340"/>
      <c r="AI5324" s="340"/>
      <c r="AN5324" s="340"/>
      <c r="AO5324" s="340"/>
      <c r="AS5324" s="340"/>
      <c r="AX5324" s="340"/>
      <c r="BB5324" s="340"/>
      <c r="BD5324" s="339"/>
    </row>
    <row r="5325" spans="7:56" s="338" customFormat="1">
      <c r="G5325" s="340"/>
      <c r="L5325" s="340"/>
      <c r="P5325" s="340"/>
      <c r="U5325" s="340"/>
      <c r="V5325" s="340"/>
      <c r="Z5325" s="340"/>
      <c r="AE5325" s="340"/>
      <c r="AI5325" s="340"/>
      <c r="AN5325" s="340"/>
      <c r="AO5325" s="340"/>
      <c r="AS5325" s="340"/>
      <c r="AX5325" s="340"/>
      <c r="BB5325" s="340"/>
      <c r="BD5325" s="339"/>
    </row>
    <row r="5326" spans="7:56" s="338" customFormat="1">
      <c r="G5326" s="340"/>
      <c r="L5326" s="340"/>
      <c r="P5326" s="340"/>
      <c r="U5326" s="340"/>
      <c r="V5326" s="340"/>
      <c r="Z5326" s="340"/>
      <c r="AE5326" s="340"/>
      <c r="AI5326" s="340"/>
      <c r="AN5326" s="340"/>
      <c r="AO5326" s="340"/>
      <c r="AS5326" s="340"/>
      <c r="AX5326" s="340"/>
      <c r="BB5326" s="340"/>
      <c r="BD5326" s="339"/>
    </row>
    <row r="5327" spans="7:56" s="338" customFormat="1">
      <c r="G5327" s="340"/>
      <c r="L5327" s="340"/>
      <c r="P5327" s="340"/>
      <c r="U5327" s="340"/>
      <c r="V5327" s="340"/>
      <c r="Z5327" s="340"/>
      <c r="AE5327" s="340"/>
      <c r="AI5327" s="340"/>
      <c r="AN5327" s="340"/>
      <c r="AO5327" s="340"/>
      <c r="AS5327" s="340"/>
      <c r="AX5327" s="340"/>
      <c r="BB5327" s="340"/>
      <c r="BD5327" s="339"/>
    </row>
    <row r="5328" spans="7:56" s="338" customFormat="1">
      <c r="G5328" s="340"/>
      <c r="L5328" s="340"/>
      <c r="P5328" s="340"/>
      <c r="U5328" s="340"/>
      <c r="V5328" s="340"/>
      <c r="Z5328" s="340"/>
      <c r="AE5328" s="340"/>
      <c r="AI5328" s="340"/>
      <c r="AN5328" s="340"/>
      <c r="AO5328" s="340"/>
      <c r="AS5328" s="340"/>
      <c r="AX5328" s="340"/>
      <c r="BB5328" s="340"/>
      <c r="BD5328" s="339"/>
    </row>
    <row r="5329" spans="7:56" s="338" customFormat="1">
      <c r="G5329" s="340"/>
      <c r="L5329" s="340"/>
      <c r="P5329" s="340"/>
      <c r="U5329" s="340"/>
      <c r="V5329" s="340"/>
      <c r="Z5329" s="340"/>
      <c r="AE5329" s="340"/>
      <c r="AI5329" s="340"/>
      <c r="AN5329" s="340"/>
      <c r="AO5329" s="340"/>
      <c r="AS5329" s="340"/>
      <c r="AX5329" s="340"/>
      <c r="BB5329" s="340"/>
      <c r="BD5329" s="339"/>
    </row>
    <row r="5330" spans="7:56" s="338" customFormat="1">
      <c r="G5330" s="340"/>
      <c r="L5330" s="340"/>
      <c r="P5330" s="340"/>
      <c r="U5330" s="340"/>
      <c r="V5330" s="340"/>
      <c r="Z5330" s="340"/>
      <c r="AE5330" s="340"/>
      <c r="AI5330" s="340"/>
      <c r="AN5330" s="340"/>
      <c r="AO5330" s="340"/>
      <c r="AS5330" s="340"/>
      <c r="AX5330" s="340"/>
      <c r="BB5330" s="340"/>
      <c r="BD5330" s="339"/>
    </row>
    <row r="5331" spans="7:56" s="338" customFormat="1">
      <c r="G5331" s="340"/>
      <c r="L5331" s="340"/>
      <c r="P5331" s="340"/>
      <c r="U5331" s="340"/>
      <c r="V5331" s="340"/>
      <c r="Z5331" s="340"/>
      <c r="AE5331" s="340"/>
      <c r="AI5331" s="340"/>
      <c r="AN5331" s="340"/>
      <c r="AO5331" s="340"/>
      <c r="AS5331" s="340"/>
      <c r="AX5331" s="340"/>
      <c r="BB5331" s="340"/>
      <c r="BD5331" s="339"/>
    </row>
    <row r="5332" spans="7:56" s="338" customFormat="1">
      <c r="G5332" s="340"/>
      <c r="L5332" s="340"/>
      <c r="P5332" s="340"/>
      <c r="U5332" s="340"/>
      <c r="V5332" s="340"/>
      <c r="Z5332" s="340"/>
      <c r="AE5332" s="340"/>
      <c r="AI5332" s="340"/>
      <c r="AN5332" s="340"/>
      <c r="AO5332" s="340"/>
      <c r="AS5332" s="340"/>
      <c r="AX5332" s="340"/>
      <c r="BB5332" s="340"/>
      <c r="BD5332" s="339"/>
    </row>
    <row r="5333" spans="7:56" s="338" customFormat="1">
      <c r="G5333" s="340"/>
      <c r="L5333" s="340"/>
      <c r="P5333" s="340"/>
      <c r="U5333" s="340"/>
      <c r="V5333" s="340"/>
      <c r="Z5333" s="340"/>
      <c r="AE5333" s="340"/>
      <c r="AI5333" s="340"/>
      <c r="AN5333" s="340"/>
      <c r="AO5333" s="340"/>
      <c r="AS5333" s="340"/>
      <c r="AX5333" s="340"/>
      <c r="BB5333" s="340"/>
      <c r="BD5333" s="339"/>
    </row>
    <row r="5334" spans="7:56" s="338" customFormat="1">
      <c r="G5334" s="340"/>
      <c r="L5334" s="340"/>
      <c r="P5334" s="340"/>
      <c r="U5334" s="340"/>
      <c r="V5334" s="340"/>
      <c r="Z5334" s="340"/>
      <c r="AE5334" s="340"/>
      <c r="AI5334" s="340"/>
      <c r="AN5334" s="340"/>
      <c r="AO5334" s="340"/>
      <c r="AS5334" s="340"/>
      <c r="AX5334" s="340"/>
      <c r="BB5334" s="340"/>
      <c r="BD5334" s="339"/>
    </row>
    <row r="5335" spans="7:56" s="338" customFormat="1">
      <c r="G5335" s="340"/>
      <c r="L5335" s="340"/>
      <c r="P5335" s="340"/>
      <c r="U5335" s="340"/>
      <c r="V5335" s="340"/>
      <c r="Z5335" s="340"/>
      <c r="AE5335" s="340"/>
      <c r="AI5335" s="340"/>
      <c r="AN5335" s="340"/>
      <c r="AO5335" s="340"/>
      <c r="AS5335" s="340"/>
      <c r="AX5335" s="340"/>
      <c r="BB5335" s="340"/>
      <c r="BD5335" s="339"/>
    </row>
    <row r="5336" spans="7:56" s="338" customFormat="1">
      <c r="G5336" s="340"/>
      <c r="L5336" s="340"/>
      <c r="P5336" s="340"/>
      <c r="U5336" s="340"/>
      <c r="V5336" s="340"/>
      <c r="Z5336" s="340"/>
      <c r="AE5336" s="340"/>
      <c r="AI5336" s="340"/>
      <c r="AN5336" s="340"/>
      <c r="AO5336" s="340"/>
      <c r="AS5336" s="340"/>
      <c r="AX5336" s="340"/>
      <c r="BB5336" s="340"/>
      <c r="BD5336" s="339"/>
    </row>
    <row r="5337" spans="7:56" s="338" customFormat="1">
      <c r="G5337" s="340"/>
      <c r="L5337" s="340"/>
      <c r="P5337" s="340"/>
      <c r="U5337" s="340"/>
      <c r="V5337" s="340"/>
      <c r="Z5337" s="340"/>
      <c r="AE5337" s="340"/>
      <c r="AI5337" s="340"/>
      <c r="AN5337" s="340"/>
      <c r="AO5337" s="340"/>
      <c r="AS5337" s="340"/>
      <c r="AX5337" s="340"/>
      <c r="BB5337" s="340"/>
      <c r="BD5337" s="339"/>
    </row>
    <row r="5338" spans="7:56" s="338" customFormat="1">
      <c r="G5338" s="340"/>
      <c r="L5338" s="340"/>
      <c r="P5338" s="340"/>
      <c r="U5338" s="340"/>
      <c r="V5338" s="340"/>
      <c r="Z5338" s="340"/>
      <c r="AE5338" s="340"/>
      <c r="AI5338" s="340"/>
      <c r="AN5338" s="340"/>
      <c r="AO5338" s="340"/>
      <c r="AS5338" s="340"/>
      <c r="AX5338" s="340"/>
      <c r="BB5338" s="340"/>
      <c r="BD5338" s="339"/>
    </row>
    <row r="5339" spans="7:56" s="338" customFormat="1">
      <c r="G5339" s="340"/>
      <c r="L5339" s="340"/>
      <c r="P5339" s="340"/>
      <c r="U5339" s="340"/>
      <c r="V5339" s="340"/>
      <c r="Z5339" s="340"/>
      <c r="AE5339" s="340"/>
      <c r="AI5339" s="340"/>
      <c r="AN5339" s="340"/>
      <c r="AO5339" s="340"/>
      <c r="AS5339" s="340"/>
      <c r="AX5339" s="340"/>
      <c r="BB5339" s="340"/>
      <c r="BD5339" s="339"/>
    </row>
    <row r="5340" spans="7:56" s="338" customFormat="1">
      <c r="G5340" s="340"/>
      <c r="L5340" s="340"/>
      <c r="P5340" s="340"/>
      <c r="U5340" s="340"/>
      <c r="V5340" s="340"/>
      <c r="Z5340" s="340"/>
      <c r="AE5340" s="340"/>
      <c r="AI5340" s="340"/>
      <c r="AN5340" s="340"/>
      <c r="AO5340" s="340"/>
      <c r="AS5340" s="340"/>
      <c r="AX5340" s="340"/>
      <c r="BB5340" s="340"/>
      <c r="BD5340" s="339"/>
    </row>
    <row r="5341" spans="7:56" s="338" customFormat="1">
      <c r="G5341" s="340"/>
      <c r="L5341" s="340"/>
      <c r="P5341" s="340"/>
      <c r="U5341" s="340"/>
      <c r="V5341" s="340"/>
      <c r="Z5341" s="340"/>
      <c r="AE5341" s="340"/>
      <c r="AI5341" s="340"/>
      <c r="AN5341" s="340"/>
      <c r="AO5341" s="340"/>
      <c r="AS5341" s="340"/>
      <c r="AX5341" s="340"/>
      <c r="BB5341" s="340"/>
      <c r="BD5341" s="339"/>
    </row>
    <row r="5342" spans="7:56" s="338" customFormat="1">
      <c r="G5342" s="340"/>
      <c r="L5342" s="340"/>
      <c r="P5342" s="340"/>
      <c r="U5342" s="340"/>
      <c r="V5342" s="340"/>
      <c r="Z5342" s="340"/>
      <c r="AE5342" s="340"/>
      <c r="AI5342" s="340"/>
      <c r="AN5342" s="340"/>
      <c r="AO5342" s="340"/>
      <c r="AS5342" s="340"/>
      <c r="AX5342" s="340"/>
      <c r="BB5342" s="340"/>
      <c r="BD5342" s="339"/>
    </row>
    <row r="5343" spans="7:56" s="338" customFormat="1">
      <c r="G5343" s="340"/>
      <c r="L5343" s="340"/>
      <c r="P5343" s="340"/>
      <c r="U5343" s="340"/>
      <c r="V5343" s="340"/>
      <c r="Z5343" s="340"/>
      <c r="AE5343" s="340"/>
      <c r="AI5343" s="340"/>
      <c r="AN5343" s="340"/>
      <c r="AO5343" s="340"/>
      <c r="AS5343" s="340"/>
      <c r="AX5343" s="340"/>
      <c r="BB5343" s="340"/>
      <c r="BD5343" s="339"/>
    </row>
    <row r="5344" spans="7:56" s="338" customFormat="1">
      <c r="G5344" s="340"/>
      <c r="L5344" s="340"/>
      <c r="P5344" s="340"/>
      <c r="U5344" s="340"/>
      <c r="V5344" s="340"/>
      <c r="Z5344" s="340"/>
      <c r="AE5344" s="340"/>
      <c r="AI5344" s="340"/>
      <c r="AN5344" s="340"/>
      <c r="AO5344" s="340"/>
      <c r="AS5344" s="340"/>
      <c r="AX5344" s="340"/>
      <c r="BB5344" s="340"/>
      <c r="BD5344" s="339"/>
    </row>
    <row r="5345" spans="7:56" s="338" customFormat="1">
      <c r="G5345" s="340"/>
      <c r="L5345" s="340"/>
      <c r="P5345" s="340"/>
      <c r="U5345" s="340"/>
      <c r="V5345" s="340"/>
      <c r="Z5345" s="340"/>
      <c r="AE5345" s="340"/>
      <c r="AI5345" s="340"/>
      <c r="AN5345" s="340"/>
      <c r="AO5345" s="340"/>
      <c r="AS5345" s="340"/>
      <c r="AX5345" s="340"/>
      <c r="BB5345" s="340"/>
      <c r="BD5345" s="339"/>
    </row>
    <row r="5346" spans="7:56" s="338" customFormat="1">
      <c r="G5346" s="340"/>
      <c r="L5346" s="340"/>
      <c r="P5346" s="340"/>
      <c r="U5346" s="340"/>
      <c r="V5346" s="340"/>
      <c r="Z5346" s="340"/>
      <c r="AE5346" s="340"/>
      <c r="AI5346" s="340"/>
      <c r="AN5346" s="340"/>
      <c r="AO5346" s="340"/>
      <c r="AS5346" s="340"/>
      <c r="AX5346" s="340"/>
      <c r="BB5346" s="340"/>
      <c r="BD5346" s="339"/>
    </row>
    <row r="5347" spans="7:56" s="338" customFormat="1">
      <c r="G5347" s="340"/>
      <c r="L5347" s="340"/>
      <c r="P5347" s="340"/>
      <c r="U5347" s="340"/>
      <c r="V5347" s="340"/>
      <c r="Z5347" s="340"/>
      <c r="AE5347" s="340"/>
      <c r="AI5347" s="340"/>
      <c r="AN5347" s="340"/>
      <c r="AO5347" s="340"/>
      <c r="AS5347" s="340"/>
      <c r="AX5347" s="340"/>
      <c r="BB5347" s="340"/>
      <c r="BD5347" s="339"/>
    </row>
    <row r="5348" spans="7:56" s="338" customFormat="1">
      <c r="G5348" s="340"/>
      <c r="L5348" s="340"/>
      <c r="P5348" s="340"/>
      <c r="U5348" s="340"/>
      <c r="V5348" s="340"/>
      <c r="Z5348" s="340"/>
      <c r="AE5348" s="340"/>
      <c r="AI5348" s="340"/>
      <c r="AN5348" s="340"/>
      <c r="AO5348" s="340"/>
      <c r="AS5348" s="340"/>
      <c r="AX5348" s="340"/>
      <c r="BB5348" s="340"/>
      <c r="BD5348" s="339"/>
    </row>
    <row r="5349" spans="7:56" s="338" customFormat="1">
      <c r="G5349" s="340"/>
      <c r="L5349" s="340"/>
      <c r="P5349" s="340"/>
      <c r="U5349" s="340"/>
      <c r="V5349" s="340"/>
      <c r="Z5349" s="340"/>
      <c r="AE5349" s="340"/>
      <c r="AI5349" s="340"/>
      <c r="AN5349" s="340"/>
      <c r="AO5349" s="340"/>
      <c r="AS5349" s="340"/>
      <c r="AX5349" s="340"/>
      <c r="BB5349" s="340"/>
      <c r="BD5349" s="339"/>
    </row>
    <row r="5350" spans="7:56" s="338" customFormat="1">
      <c r="G5350" s="340"/>
      <c r="L5350" s="340"/>
      <c r="P5350" s="340"/>
      <c r="U5350" s="340"/>
      <c r="V5350" s="340"/>
      <c r="Z5350" s="340"/>
      <c r="AE5350" s="340"/>
      <c r="AI5350" s="340"/>
      <c r="AN5350" s="340"/>
      <c r="AO5350" s="340"/>
      <c r="AS5350" s="340"/>
      <c r="AX5350" s="340"/>
      <c r="BB5350" s="340"/>
      <c r="BD5350" s="339"/>
    </row>
    <row r="5351" spans="7:56" s="338" customFormat="1">
      <c r="G5351" s="340"/>
      <c r="L5351" s="340"/>
      <c r="P5351" s="340"/>
      <c r="U5351" s="340"/>
      <c r="V5351" s="340"/>
      <c r="Z5351" s="340"/>
      <c r="AE5351" s="340"/>
      <c r="AI5351" s="340"/>
      <c r="AN5351" s="340"/>
      <c r="AO5351" s="340"/>
      <c r="AS5351" s="340"/>
      <c r="AX5351" s="340"/>
      <c r="BB5351" s="340"/>
      <c r="BD5351" s="339"/>
    </row>
    <row r="5352" spans="7:56" s="338" customFormat="1">
      <c r="G5352" s="340"/>
      <c r="L5352" s="340"/>
      <c r="P5352" s="340"/>
      <c r="U5352" s="340"/>
      <c r="V5352" s="340"/>
      <c r="Z5352" s="340"/>
      <c r="AE5352" s="340"/>
      <c r="AI5352" s="340"/>
      <c r="AN5352" s="340"/>
      <c r="AO5352" s="340"/>
      <c r="AS5352" s="340"/>
      <c r="AX5352" s="340"/>
      <c r="BB5352" s="340"/>
      <c r="BD5352" s="339"/>
    </row>
    <row r="5353" spans="7:56" s="338" customFormat="1">
      <c r="G5353" s="340"/>
      <c r="L5353" s="340"/>
      <c r="P5353" s="340"/>
      <c r="U5353" s="340"/>
      <c r="V5353" s="340"/>
      <c r="Z5353" s="340"/>
      <c r="AE5353" s="340"/>
      <c r="AI5353" s="340"/>
      <c r="AN5353" s="340"/>
      <c r="AO5353" s="340"/>
      <c r="AS5353" s="340"/>
      <c r="AX5353" s="340"/>
      <c r="BB5353" s="340"/>
      <c r="BD5353" s="339"/>
    </row>
    <row r="5354" spans="7:56" s="338" customFormat="1">
      <c r="G5354" s="340"/>
      <c r="L5354" s="340"/>
      <c r="P5354" s="340"/>
      <c r="U5354" s="340"/>
      <c r="V5354" s="340"/>
      <c r="Z5354" s="340"/>
      <c r="AE5354" s="340"/>
      <c r="AI5354" s="340"/>
      <c r="AN5354" s="340"/>
      <c r="AO5354" s="340"/>
      <c r="AS5354" s="340"/>
      <c r="AX5354" s="340"/>
      <c r="BB5354" s="340"/>
      <c r="BD5354" s="339"/>
    </row>
    <row r="5355" spans="7:56" s="338" customFormat="1">
      <c r="G5355" s="340"/>
      <c r="L5355" s="340"/>
      <c r="P5355" s="340"/>
      <c r="U5355" s="340"/>
      <c r="V5355" s="340"/>
      <c r="Z5355" s="340"/>
      <c r="AE5355" s="340"/>
      <c r="AI5355" s="340"/>
      <c r="AN5355" s="340"/>
      <c r="AO5355" s="340"/>
      <c r="AS5355" s="340"/>
      <c r="AX5355" s="340"/>
      <c r="BB5355" s="340"/>
      <c r="BD5355" s="339"/>
    </row>
    <row r="5356" spans="7:56" s="338" customFormat="1">
      <c r="G5356" s="340"/>
      <c r="L5356" s="340"/>
      <c r="P5356" s="340"/>
      <c r="U5356" s="340"/>
      <c r="V5356" s="340"/>
      <c r="Z5356" s="340"/>
      <c r="AE5356" s="340"/>
      <c r="AI5356" s="340"/>
      <c r="AN5356" s="340"/>
      <c r="AO5356" s="340"/>
      <c r="AS5356" s="340"/>
      <c r="AX5356" s="340"/>
      <c r="BB5356" s="340"/>
      <c r="BD5356" s="339"/>
    </row>
    <row r="5357" spans="7:56" s="338" customFormat="1">
      <c r="G5357" s="340"/>
      <c r="L5357" s="340"/>
      <c r="P5357" s="340"/>
      <c r="U5357" s="340"/>
      <c r="V5357" s="340"/>
      <c r="Z5357" s="340"/>
      <c r="AE5357" s="340"/>
      <c r="AI5357" s="340"/>
      <c r="AN5357" s="340"/>
      <c r="AO5357" s="340"/>
      <c r="AS5357" s="340"/>
      <c r="AX5357" s="340"/>
      <c r="BB5357" s="340"/>
      <c r="BD5357" s="339"/>
    </row>
    <row r="5358" spans="7:56" s="338" customFormat="1">
      <c r="G5358" s="340"/>
      <c r="L5358" s="340"/>
      <c r="P5358" s="340"/>
      <c r="U5358" s="340"/>
      <c r="V5358" s="340"/>
      <c r="Z5358" s="340"/>
      <c r="AE5358" s="340"/>
      <c r="AI5358" s="340"/>
      <c r="AN5358" s="340"/>
      <c r="AO5358" s="340"/>
      <c r="AS5358" s="340"/>
      <c r="AX5358" s="340"/>
      <c r="BB5358" s="340"/>
      <c r="BD5358" s="339"/>
    </row>
    <row r="5359" spans="7:56" s="338" customFormat="1">
      <c r="G5359" s="340"/>
      <c r="L5359" s="340"/>
      <c r="P5359" s="340"/>
      <c r="U5359" s="340"/>
      <c r="V5359" s="340"/>
      <c r="Z5359" s="340"/>
      <c r="AE5359" s="340"/>
      <c r="AI5359" s="340"/>
      <c r="AN5359" s="340"/>
      <c r="AO5359" s="340"/>
      <c r="AS5359" s="340"/>
      <c r="AX5359" s="340"/>
      <c r="BB5359" s="340"/>
      <c r="BD5359" s="339"/>
    </row>
    <row r="5360" spans="7:56" s="338" customFormat="1">
      <c r="G5360" s="340"/>
      <c r="L5360" s="340"/>
      <c r="P5360" s="340"/>
      <c r="U5360" s="340"/>
      <c r="V5360" s="340"/>
      <c r="Z5360" s="340"/>
      <c r="AE5360" s="340"/>
      <c r="AI5360" s="340"/>
      <c r="AN5360" s="340"/>
      <c r="AO5360" s="340"/>
      <c r="AS5360" s="340"/>
      <c r="AX5360" s="340"/>
      <c r="BB5360" s="340"/>
      <c r="BD5360" s="339"/>
    </row>
    <row r="5361" spans="7:56" s="338" customFormat="1">
      <c r="G5361" s="340"/>
      <c r="L5361" s="340"/>
      <c r="P5361" s="340"/>
      <c r="U5361" s="340"/>
      <c r="V5361" s="340"/>
      <c r="Z5361" s="340"/>
      <c r="AE5361" s="340"/>
      <c r="AI5361" s="340"/>
      <c r="AN5361" s="340"/>
      <c r="AO5361" s="340"/>
      <c r="AS5361" s="340"/>
      <c r="AX5361" s="340"/>
      <c r="BB5361" s="340"/>
      <c r="BD5361" s="339"/>
    </row>
    <row r="5362" spans="7:56" s="338" customFormat="1">
      <c r="G5362" s="340"/>
      <c r="L5362" s="340"/>
      <c r="P5362" s="340"/>
      <c r="U5362" s="340"/>
      <c r="V5362" s="340"/>
      <c r="Z5362" s="340"/>
      <c r="AE5362" s="340"/>
      <c r="AI5362" s="340"/>
      <c r="AN5362" s="340"/>
      <c r="AO5362" s="340"/>
      <c r="AS5362" s="340"/>
      <c r="AX5362" s="340"/>
      <c r="BB5362" s="340"/>
      <c r="BD5362" s="339"/>
    </row>
    <row r="5363" spans="7:56" s="338" customFormat="1">
      <c r="G5363" s="340"/>
      <c r="L5363" s="340"/>
      <c r="P5363" s="340"/>
      <c r="U5363" s="340"/>
      <c r="V5363" s="340"/>
      <c r="Z5363" s="340"/>
      <c r="AE5363" s="340"/>
      <c r="AI5363" s="340"/>
      <c r="AN5363" s="340"/>
      <c r="AO5363" s="340"/>
      <c r="AS5363" s="340"/>
      <c r="AX5363" s="340"/>
      <c r="BB5363" s="340"/>
      <c r="BD5363" s="339"/>
    </row>
    <row r="5364" spans="7:56" s="338" customFormat="1">
      <c r="G5364" s="340"/>
      <c r="L5364" s="340"/>
      <c r="P5364" s="340"/>
      <c r="U5364" s="340"/>
      <c r="V5364" s="340"/>
      <c r="Z5364" s="340"/>
      <c r="AE5364" s="340"/>
      <c r="AI5364" s="340"/>
      <c r="AN5364" s="340"/>
      <c r="AO5364" s="340"/>
      <c r="AS5364" s="340"/>
      <c r="AX5364" s="340"/>
      <c r="BB5364" s="340"/>
      <c r="BD5364" s="339"/>
    </row>
    <row r="5365" spans="7:56" s="338" customFormat="1">
      <c r="G5365" s="340"/>
      <c r="L5365" s="340"/>
      <c r="P5365" s="340"/>
      <c r="U5365" s="340"/>
      <c r="V5365" s="340"/>
      <c r="Z5365" s="340"/>
      <c r="AE5365" s="340"/>
      <c r="AI5365" s="340"/>
      <c r="AN5365" s="340"/>
      <c r="AO5365" s="340"/>
      <c r="AS5365" s="340"/>
      <c r="AX5365" s="340"/>
      <c r="BB5365" s="340"/>
      <c r="BD5365" s="339"/>
    </row>
    <row r="5366" spans="7:56" s="338" customFormat="1">
      <c r="G5366" s="340"/>
      <c r="L5366" s="340"/>
      <c r="P5366" s="340"/>
      <c r="U5366" s="340"/>
      <c r="V5366" s="340"/>
      <c r="Z5366" s="340"/>
      <c r="AE5366" s="340"/>
      <c r="AI5366" s="340"/>
      <c r="AN5366" s="340"/>
      <c r="AO5366" s="340"/>
      <c r="AS5366" s="340"/>
      <c r="AX5366" s="340"/>
      <c r="BB5366" s="340"/>
      <c r="BD5366" s="339"/>
    </row>
    <row r="5367" spans="7:56" s="338" customFormat="1">
      <c r="G5367" s="340"/>
      <c r="L5367" s="340"/>
      <c r="P5367" s="340"/>
      <c r="U5367" s="340"/>
      <c r="V5367" s="340"/>
      <c r="Z5367" s="340"/>
      <c r="AE5367" s="340"/>
      <c r="AI5367" s="340"/>
      <c r="AN5367" s="340"/>
      <c r="AO5367" s="340"/>
      <c r="AS5367" s="340"/>
      <c r="AX5367" s="340"/>
      <c r="BB5367" s="340"/>
      <c r="BD5367" s="339"/>
    </row>
    <row r="5368" spans="7:56" s="338" customFormat="1">
      <c r="G5368" s="340"/>
      <c r="L5368" s="340"/>
      <c r="P5368" s="340"/>
      <c r="U5368" s="340"/>
      <c r="V5368" s="340"/>
      <c r="Z5368" s="340"/>
      <c r="AE5368" s="340"/>
      <c r="AI5368" s="340"/>
      <c r="AN5368" s="340"/>
      <c r="AO5368" s="340"/>
      <c r="AS5368" s="340"/>
      <c r="AX5368" s="340"/>
      <c r="BB5368" s="340"/>
      <c r="BD5368" s="339"/>
    </row>
    <row r="5369" spans="7:56" s="338" customFormat="1">
      <c r="G5369" s="340"/>
      <c r="L5369" s="340"/>
      <c r="P5369" s="340"/>
      <c r="U5369" s="340"/>
      <c r="V5369" s="340"/>
      <c r="Z5369" s="340"/>
      <c r="AE5369" s="340"/>
      <c r="AI5369" s="340"/>
      <c r="AN5369" s="340"/>
      <c r="AO5369" s="340"/>
      <c r="AS5369" s="340"/>
      <c r="AX5369" s="340"/>
      <c r="BB5369" s="340"/>
      <c r="BD5369" s="339"/>
    </row>
    <row r="5370" spans="7:56" s="338" customFormat="1">
      <c r="G5370" s="340"/>
      <c r="L5370" s="340"/>
      <c r="P5370" s="340"/>
      <c r="U5370" s="340"/>
      <c r="V5370" s="340"/>
      <c r="Z5370" s="340"/>
      <c r="AE5370" s="340"/>
      <c r="AI5370" s="340"/>
      <c r="AN5370" s="340"/>
      <c r="AO5370" s="340"/>
      <c r="AS5370" s="340"/>
      <c r="AX5370" s="340"/>
      <c r="BB5370" s="340"/>
      <c r="BD5370" s="339"/>
    </row>
    <row r="5371" spans="7:56" s="338" customFormat="1">
      <c r="G5371" s="340"/>
      <c r="L5371" s="340"/>
      <c r="P5371" s="340"/>
      <c r="U5371" s="340"/>
      <c r="V5371" s="340"/>
      <c r="Z5371" s="340"/>
      <c r="AE5371" s="340"/>
      <c r="AI5371" s="340"/>
      <c r="AN5371" s="340"/>
      <c r="AO5371" s="340"/>
      <c r="AS5371" s="340"/>
      <c r="AX5371" s="340"/>
      <c r="BB5371" s="340"/>
      <c r="BD5371" s="339"/>
    </row>
    <row r="5372" spans="7:56" s="338" customFormat="1">
      <c r="G5372" s="340"/>
      <c r="L5372" s="340"/>
      <c r="P5372" s="340"/>
      <c r="U5372" s="340"/>
      <c r="V5372" s="340"/>
      <c r="Z5372" s="340"/>
      <c r="AE5372" s="340"/>
      <c r="AI5372" s="340"/>
      <c r="AN5372" s="340"/>
      <c r="AO5372" s="340"/>
      <c r="AS5372" s="340"/>
      <c r="AX5372" s="340"/>
      <c r="BB5372" s="340"/>
      <c r="BD5372" s="339"/>
    </row>
    <row r="5373" spans="7:56" s="338" customFormat="1">
      <c r="G5373" s="340"/>
      <c r="L5373" s="340"/>
      <c r="P5373" s="340"/>
      <c r="U5373" s="340"/>
      <c r="V5373" s="340"/>
      <c r="Z5373" s="340"/>
      <c r="AE5373" s="340"/>
      <c r="AI5373" s="340"/>
      <c r="AN5373" s="340"/>
      <c r="AO5373" s="340"/>
      <c r="AS5373" s="340"/>
      <c r="AX5373" s="340"/>
      <c r="BB5373" s="340"/>
      <c r="BD5373" s="339"/>
    </row>
    <row r="5374" spans="7:56" s="338" customFormat="1">
      <c r="G5374" s="340"/>
      <c r="L5374" s="340"/>
      <c r="P5374" s="340"/>
      <c r="U5374" s="340"/>
      <c r="V5374" s="340"/>
      <c r="Z5374" s="340"/>
      <c r="AE5374" s="340"/>
      <c r="AI5374" s="340"/>
      <c r="AN5374" s="340"/>
      <c r="AO5374" s="340"/>
      <c r="AS5374" s="340"/>
      <c r="AX5374" s="340"/>
      <c r="BB5374" s="340"/>
      <c r="BD5374" s="339"/>
    </row>
    <row r="5375" spans="7:56" s="338" customFormat="1">
      <c r="G5375" s="340"/>
      <c r="L5375" s="340"/>
      <c r="P5375" s="340"/>
      <c r="U5375" s="340"/>
      <c r="V5375" s="340"/>
      <c r="Z5375" s="340"/>
      <c r="AE5375" s="340"/>
      <c r="AI5375" s="340"/>
      <c r="AN5375" s="340"/>
      <c r="AO5375" s="340"/>
      <c r="AS5375" s="340"/>
      <c r="AX5375" s="340"/>
      <c r="BB5375" s="340"/>
      <c r="BD5375" s="339"/>
    </row>
    <row r="5376" spans="7:56" s="338" customFormat="1">
      <c r="G5376" s="340"/>
      <c r="L5376" s="340"/>
      <c r="P5376" s="340"/>
      <c r="U5376" s="340"/>
      <c r="V5376" s="340"/>
      <c r="Z5376" s="340"/>
      <c r="AE5376" s="340"/>
      <c r="AI5376" s="340"/>
      <c r="AN5376" s="340"/>
      <c r="AO5376" s="340"/>
      <c r="AS5376" s="340"/>
      <c r="AX5376" s="340"/>
      <c r="BB5376" s="340"/>
      <c r="BD5376" s="339"/>
    </row>
    <row r="5377" spans="7:56" s="338" customFormat="1">
      <c r="G5377" s="340"/>
      <c r="L5377" s="340"/>
      <c r="P5377" s="340"/>
      <c r="U5377" s="340"/>
      <c r="V5377" s="340"/>
      <c r="Z5377" s="340"/>
      <c r="AE5377" s="340"/>
      <c r="AI5377" s="340"/>
      <c r="AN5377" s="340"/>
      <c r="AO5377" s="340"/>
      <c r="AS5377" s="340"/>
      <c r="AX5377" s="340"/>
      <c r="BB5377" s="340"/>
      <c r="BD5377" s="339"/>
    </row>
    <row r="5378" spans="7:56" s="338" customFormat="1">
      <c r="G5378" s="340"/>
      <c r="L5378" s="340"/>
      <c r="P5378" s="340"/>
      <c r="U5378" s="340"/>
      <c r="V5378" s="340"/>
      <c r="Z5378" s="340"/>
      <c r="AE5378" s="340"/>
      <c r="AI5378" s="340"/>
      <c r="AN5378" s="340"/>
      <c r="AO5378" s="340"/>
      <c r="AS5378" s="340"/>
      <c r="AX5378" s="340"/>
      <c r="BB5378" s="340"/>
      <c r="BD5378" s="339"/>
    </row>
    <row r="5379" spans="7:56" s="338" customFormat="1">
      <c r="G5379" s="340"/>
      <c r="L5379" s="340"/>
      <c r="P5379" s="340"/>
      <c r="U5379" s="340"/>
      <c r="V5379" s="340"/>
      <c r="Z5379" s="340"/>
      <c r="AE5379" s="340"/>
      <c r="AI5379" s="340"/>
      <c r="AN5379" s="340"/>
      <c r="AO5379" s="340"/>
      <c r="AS5379" s="340"/>
      <c r="AX5379" s="340"/>
      <c r="BB5379" s="340"/>
      <c r="BD5379" s="339"/>
    </row>
    <row r="5380" spans="7:56" s="338" customFormat="1">
      <c r="G5380" s="340"/>
      <c r="L5380" s="340"/>
      <c r="P5380" s="340"/>
      <c r="U5380" s="340"/>
      <c r="V5380" s="340"/>
      <c r="Z5380" s="340"/>
      <c r="AE5380" s="340"/>
      <c r="AI5380" s="340"/>
      <c r="AN5380" s="340"/>
      <c r="AO5380" s="340"/>
      <c r="AS5380" s="340"/>
      <c r="AX5380" s="340"/>
      <c r="BB5380" s="340"/>
      <c r="BD5380" s="339"/>
    </row>
    <row r="5381" spans="7:56" s="338" customFormat="1">
      <c r="G5381" s="340"/>
      <c r="L5381" s="340"/>
      <c r="P5381" s="340"/>
      <c r="U5381" s="340"/>
      <c r="V5381" s="340"/>
      <c r="Z5381" s="340"/>
      <c r="AE5381" s="340"/>
      <c r="AI5381" s="340"/>
      <c r="AN5381" s="340"/>
      <c r="AO5381" s="340"/>
      <c r="AS5381" s="340"/>
      <c r="AX5381" s="340"/>
      <c r="BB5381" s="340"/>
      <c r="BD5381" s="339"/>
    </row>
    <row r="5382" spans="7:56" s="338" customFormat="1">
      <c r="G5382" s="340"/>
      <c r="L5382" s="340"/>
      <c r="P5382" s="340"/>
      <c r="U5382" s="340"/>
      <c r="V5382" s="340"/>
      <c r="Z5382" s="340"/>
      <c r="AE5382" s="340"/>
      <c r="AI5382" s="340"/>
      <c r="AN5382" s="340"/>
      <c r="AO5382" s="340"/>
      <c r="AS5382" s="340"/>
      <c r="AX5382" s="340"/>
      <c r="BB5382" s="340"/>
      <c r="BD5382" s="339"/>
    </row>
    <row r="5383" spans="7:56" s="338" customFormat="1">
      <c r="G5383" s="340"/>
      <c r="L5383" s="340"/>
      <c r="P5383" s="340"/>
      <c r="U5383" s="340"/>
      <c r="V5383" s="340"/>
      <c r="Z5383" s="340"/>
      <c r="AE5383" s="340"/>
      <c r="AI5383" s="340"/>
      <c r="AN5383" s="340"/>
      <c r="AO5383" s="340"/>
      <c r="AS5383" s="340"/>
      <c r="AX5383" s="340"/>
      <c r="BB5383" s="340"/>
      <c r="BD5383" s="339"/>
    </row>
    <row r="5384" spans="7:56" s="338" customFormat="1">
      <c r="G5384" s="340"/>
      <c r="L5384" s="340"/>
      <c r="P5384" s="340"/>
      <c r="U5384" s="340"/>
      <c r="V5384" s="340"/>
      <c r="Z5384" s="340"/>
      <c r="AE5384" s="340"/>
      <c r="AI5384" s="340"/>
      <c r="AN5384" s="340"/>
      <c r="AO5384" s="340"/>
      <c r="AS5384" s="340"/>
      <c r="AX5384" s="340"/>
      <c r="BB5384" s="340"/>
      <c r="BD5384" s="339"/>
    </row>
    <row r="5385" spans="7:56" s="338" customFormat="1">
      <c r="G5385" s="340"/>
      <c r="L5385" s="340"/>
      <c r="P5385" s="340"/>
      <c r="U5385" s="340"/>
      <c r="V5385" s="340"/>
      <c r="Z5385" s="340"/>
      <c r="AE5385" s="340"/>
      <c r="AI5385" s="340"/>
      <c r="AN5385" s="340"/>
      <c r="AO5385" s="340"/>
      <c r="AS5385" s="340"/>
      <c r="AX5385" s="340"/>
      <c r="BB5385" s="340"/>
      <c r="BD5385" s="339"/>
    </row>
    <row r="5386" spans="7:56" s="338" customFormat="1">
      <c r="G5386" s="340"/>
      <c r="L5386" s="340"/>
      <c r="P5386" s="340"/>
      <c r="U5386" s="340"/>
      <c r="V5386" s="340"/>
      <c r="Z5386" s="340"/>
      <c r="AE5386" s="340"/>
      <c r="AI5386" s="340"/>
      <c r="AN5386" s="340"/>
      <c r="AO5386" s="340"/>
      <c r="AS5386" s="340"/>
      <c r="AX5386" s="340"/>
      <c r="BB5386" s="340"/>
      <c r="BD5386" s="339"/>
    </row>
    <row r="5387" spans="7:56" s="338" customFormat="1">
      <c r="G5387" s="340"/>
      <c r="L5387" s="340"/>
      <c r="P5387" s="340"/>
      <c r="U5387" s="340"/>
      <c r="V5387" s="340"/>
      <c r="Z5387" s="340"/>
      <c r="AE5387" s="340"/>
      <c r="AI5387" s="340"/>
      <c r="AN5387" s="340"/>
      <c r="AO5387" s="340"/>
      <c r="AS5387" s="340"/>
      <c r="AX5387" s="340"/>
      <c r="BB5387" s="340"/>
      <c r="BD5387" s="339"/>
    </row>
    <row r="5388" spans="7:56" s="338" customFormat="1">
      <c r="G5388" s="340"/>
      <c r="L5388" s="340"/>
      <c r="P5388" s="340"/>
      <c r="U5388" s="340"/>
      <c r="V5388" s="340"/>
      <c r="Z5388" s="340"/>
      <c r="AE5388" s="340"/>
      <c r="AI5388" s="340"/>
      <c r="AN5388" s="340"/>
      <c r="AO5388" s="340"/>
      <c r="AS5388" s="340"/>
      <c r="AX5388" s="340"/>
      <c r="BB5388" s="340"/>
      <c r="BD5388" s="339"/>
    </row>
    <row r="5389" spans="7:56" s="338" customFormat="1">
      <c r="G5389" s="340"/>
      <c r="L5389" s="340"/>
      <c r="P5389" s="340"/>
      <c r="U5389" s="340"/>
      <c r="V5389" s="340"/>
      <c r="Z5389" s="340"/>
      <c r="AE5389" s="340"/>
      <c r="AI5389" s="340"/>
      <c r="AN5389" s="340"/>
      <c r="AO5389" s="340"/>
      <c r="AS5389" s="340"/>
      <c r="AX5389" s="340"/>
      <c r="BB5389" s="340"/>
      <c r="BD5389" s="339"/>
    </row>
    <row r="5390" spans="7:56" s="338" customFormat="1">
      <c r="G5390" s="340"/>
      <c r="L5390" s="340"/>
      <c r="P5390" s="340"/>
      <c r="U5390" s="340"/>
      <c r="V5390" s="340"/>
      <c r="Z5390" s="340"/>
      <c r="AE5390" s="340"/>
      <c r="AI5390" s="340"/>
      <c r="AN5390" s="340"/>
      <c r="AO5390" s="340"/>
      <c r="AS5390" s="340"/>
      <c r="AX5390" s="340"/>
      <c r="BB5390" s="340"/>
      <c r="BD5390" s="339"/>
    </row>
    <row r="5391" spans="7:56" s="338" customFormat="1">
      <c r="G5391" s="340"/>
      <c r="L5391" s="340"/>
      <c r="P5391" s="340"/>
      <c r="U5391" s="340"/>
      <c r="V5391" s="340"/>
      <c r="Z5391" s="340"/>
      <c r="AE5391" s="340"/>
      <c r="AI5391" s="340"/>
      <c r="AN5391" s="340"/>
      <c r="AO5391" s="340"/>
      <c r="AS5391" s="340"/>
      <c r="AX5391" s="340"/>
      <c r="BB5391" s="340"/>
      <c r="BD5391" s="339"/>
    </row>
    <row r="5392" spans="7:56" s="338" customFormat="1">
      <c r="G5392" s="340"/>
      <c r="L5392" s="340"/>
      <c r="P5392" s="340"/>
      <c r="U5392" s="340"/>
      <c r="V5392" s="340"/>
      <c r="Z5392" s="340"/>
      <c r="AE5392" s="340"/>
      <c r="AI5392" s="340"/>
      <c r="AN5392" s="340"/>
      <c r="AO5392" s="340"/>
      <c r="AS5392" s="340"/>
      <c r="AX5392" s="340"/>
      <c r="BB5392" s="340"/>
      <c r="BD5392" s="339"/>
    </row>
    <row r="5393" spans="7:56" s="338" customFormat="1">
      <c r="G5393" s="340"/>
      <c r="L5393" s="340"/>
      <c r="P5393" s="340"/>
      <c r="U5393" s="340"/>
      <c r="V5393" s="340"/>
      <c r="Z5393" s="340"/>
      <c r="AE5393" s="340"/>
      <c r="AI5393" s="340"/>
      <c r="AN5393" s="340"/>
      <c r="AO5393" s="340"/>
      <c r="AS5393" s="340"/>
      <c r="AX5393" s="340"/>
      <c r="BB5393" s="340"/>
      <c r="BD5393" s="339"/>
    </row>
    <row r="5394" spans="7:56" s="338" customFormat="1">
      <c r="G5394" s="340"/>
      <c r="L5394" s="340"/>
      <c r="P5394" s="340"/>
      <c r="U5394" s="340"/>
      <c r="V5394" s="340"/>
      <c r="Z5394" s="340"/>
      <c r="AE5394" s="340"/>
      <c r="AI5394" s="340"/>
      <c r="AN5394" s="340"/>
      <c r="AO5394" s="340"/>
      <c r="AS5394" s="340"/>
      <c r="AX5394" s="340"/>
      <c r="BB5394" s="340"/>
      <c r="BD5394" s="339"/>
    </row>
    <row r="5395" spans="7:56" s="338" customFormat="1">
      <c r="G5395" s="340"/>
      <c r="L5395" s="340"/>
      <c r="P5395" s="340"/>
      <c r="U5395" s="340"/>
      <c r="V5395" s="340"/>
      <c r="Z5395" s="340"/>
      <c r="AE5395" s="340"/>
      <c r="AI5395" s="340"/>
      <c r="AN5395" s="340"/>
      <c r="AO5395" s="340"/>
      <c r="AS5395" s="340"/>
      <c r="AX5395" s="340"/>
      <c r="BB5395" s="340"/>
      <c r="BD5395" s="339"/>
    </row>
    <row r="5396" spans="7:56" s="338" customFormat="1">
      <c r="G5396" s="340"/>
      <c r="L5396" s="340"/>
      <c r="P5396" s="340"/>
      <c r="U5396" s="340"/>
      <c r="V5396" s="340"/>
      <c r="Z5396" s="340"/>
      <c r="AE5396" s="340"/>
      <c r="AI5396" s="340"/>
      <c r="AN5396" s="340"/>
      <c r="AO5396" s="340"/>
      <c r="AS5396" s="340"/>
      <c r="AX5396" s="340"/>
      <c r="BB5396" s="340"/>
      <c r="BD5396" s="339"/>
    </row>
    <row r="5397" spans="7:56" s="338" customFormat="1">
      <c r="G5397" s="340"/>
      <c r="L5397" s="340"/>
      <c r="P5397" s="340"/>
      <c r="U5397" s="340"/>
      <c r="V5397" s="340"/>
      <c r="Z5397" s="340"/>
      <c r="AE5397" s="340"/>
      <c r="AI5397" s="340"/>
      <c r="AN5397" s="340"/>
      <c r="AO5397" s="340"/>
      <c r="AS5397" s="340"/>
      <c r="AX5397" s="340"/>
      <c r="BB5397" s="340"/>
      <c r="BD5397" s="339"/>
    </row>
    <row r="5398" spans="7:56" s="338" customFormat="1">
      <c r="G5398" s="340"/>
      <c r="L5398" s="340"/>
      <c r="P5398" s="340"/>
      <c r="U5398" s="340"/>
      <c r="V5398" s="340"/>
      <c r="Z5398" s="340"/>
      <c r="AE5398" s="340"/>
      <c r="AI5398" s="340"/>
      <c r="AN5398" s="340"/>
      <c r="AO5398" s="340"/>
      <c r="AS5398" s="340"/>
      <c r="AX5398" s="340"/>
      <c r="BB5398" s="340"/>
      <c r="BD5398" s="339"/>
    </row>
    <row r="5399" spans="7:56" s="338" customFormat="1">
      <c r="G5399" s="340"/>
      <c r="L5399" s="340"/>
      <c r="P5399" s="340"/>
      <c r="U5399" s="340"/>
      <c r="V5399" s="340"/>
      <c r="Z5399" s="340"/>
      <c r="AE5399" s="340"/>
      <c r="AI5399" s="340"/>
      <c r="AN5399" s="340"/>
      <c r="AO5399" s="340"/>
      <c r="AS5399" s="340"/>
      <c r="AX5399" s="340"/>
      <c r="BB5399" s="340"/>
      <c r="BD5399" s="339"/>
    </row>
    <row r="5400" spans="7:56" s="338" customFormat="1">
      <c r="G5400" s="340"/>
      <c r="L5400" s="340"/>
      <c r="P5400" s="340"/>
      <c r="U5400" s="340"/>
      <c r="V5400" s="340"/>
      <c r="Z5400" s="340"/>
      <c r="AE5400" s="340"/>
      <c r="AI5400" s="340"/>
      <c r="AN5400" s="340"/>
      <c r="AO5400" s="340"/>
      <c r="AS5400" s="340"/>
      <c r="AX5400" s="340"/>
      <c r="BB5400" s="340"/>
      <c r="BD5400" s="339"/>
    </row>
    <row r="5401" spans="7:56" s="338" customFormat="1">
      <c r="G5401" s="340"/>
      <c r="L5401" s="340"/>
      <c r="P5401" s="340"/>
      <c r="U5401" s="340"/>
      <c r="V5401" s="340"/>
      <c r="Z5401" s="340"/>
      <c r="AE5401" s="340"/>
      <c r="AI5401" s="340"/>
      <c r="AN5401" s="340"/>
      <c r="AO5401" s="340"/>
      <c r="AS5401" s="340"/>
      <c r="AX5401" s="340"/>
      <c r="BB5401" s="340"/>
      <c r="BD5401" s="339"/>
    </row>
    <row r="5402" spans="7:56" s="338" customFormat="1">
      <c r="G5402" s="340"/>
      <c r="L5402" s="340"/>
      <c r="P5402" s="340"/>
      <c r="U5402" s="340"/>
      <c r="V5402" s="340"/>
      <c r="Z5402" s="340"/>
      <c r="AE5402" s="340"/>
      <c r="AI5402" s="340"/>
      <c r="AN5402" s="340"/>
      <c r="AO5402" s="340"/>
      <c r="AS5402" s="340"/>
      <c r="AX5402" s="340"/>
      <c r="BB5402" s="340"/>
      <c r="BD5402" s="339"/>
    </row>
    <row r="5403" spans="7:56" s="338" customFormat="1">
      <c r="G5403" s="340"/>
      <c r="L5403" s="340"/>
      <c r="P5403" s="340"/>
      <c r="U5403" s="340"/>
      <c r="V5403" s="340"/>
      <c r="Z5403" s="340"/>
      <c r="AE5403" s="340"/>
      <c r="AI5403" s="340"/>
      <c r="AN5403" s="340"/>
      <c r="AO5403" s="340"/>
      <c r="AS5403" s="340"/>
      <c r="AX5403" s="340"/>
      <c r="BB5403" s="340"/>
      <c r="BD5403" s="339"/>
    </row>
    <row r="5404" spans="7:56" s="338" customFormat="1">
      <c r="G5404" s="340"/>
      <c r="L5404" s="340"/>
      <c r="P5404" s="340"/>
      <c r="U5404" s="340"/>
      <c r="V5404" s="340"/>
      <c r="Z5404" s="340"/>
      <c r="AE5404" s="340"/>
      <c r="AI5404" s="340"/>
      <c r="AN5404" s="340"/>
      <c r="AO5404" s="340"/>
      <c r="AS5404" s="340"/>
      <c r="AX5404" s="340"/>
      <c r="BB5404" s="340"/>
      <c r="BD5404" s="339"/>
    </row>
    <row r="5405" spans="7:56" s="338" customFormat="1">
      <c r="G5405" s="340"/>
      <c r="L5405" s="340"/>
      <c r="P5405" s="340"/>
      <c r="U5405" s="340"/>
      <c r="V5405" s="340"/>
      <c r="Z5405" s="340"/>
      <c r="AE5405" s="340"/>
      <c r="AI5405" s="340"/>
      <c r="AN5405" s="340"/>
      <c r="AO5405" s="340"/>
      <c r="AS5405" s="340"/>
      <c r="AX5405" s="340"/>
      <c r="BB5405" s="340"/>
      <c r="BD5405" s="339"/>
    </row>
    <row r="5406" spans="7:56" s="338" customFormat="1">
      <c r="G5406" s="340"/>
      <c r="L5406" s="340"/>
      <c r="P5406" s="340"/>
      <c r="U5406" s="340"/>
      <c r="V5406" s="340"/>
      <c r="Z5406" s="340"/>
      <c r="AE5406" s="340"/>
      <c r="AI5406" s="340"/>
      <c r="AN5406" s="340"/>
      <c r="AO5406" s="340"/>
      <c r="AS5406" s="340"/>
      <c r="AX5406" s="340"/>
      <c r="BB5406" s="340"/>
      <c r="BD5406" s="339"/>
    </row>
    <row r="5407" spans="7:56" s="338" customFormat="1">
      <c r="G5407" s="340"/>
      <c r="L5407" s="340"/>
      <c r="P5407" s="340"/>
      <c r="U5407" s="340"/>
      <c r="V5407" s="340"/>
      <c r="Z5407" s="340"/>
      <c r="AE5407" s="340"/>
      <c r="AI5407" s="340"/>
      <c r="AN5407" s="340"/>
      <c r="AO5407" s="340"/>
      <c r="AS5407" s="340"/>
      <c r="AX5407" s="340"/>
      <c r="BB5407" s="340"/>
      <c r="BD5407" s="339"/>
    </row>
    <row r="5408" spans="7:56" s="338" customFormat="1">
      <c r="G5408" s="340"/>
      <c r="L5408" s="340"/>
      <c r="P5408" s="340"/>
      <c r="U5408" s="340"/>
      <c r="V5408" s="340"/>
      <c r="Z5408" s="340"/>
      <c r="AE5408" s="340"/>
      <c r="AI5408" s="340"/>
      <c r="AN5408" s="340"/>
      <c r="AO5408" s="340"/>
      <c r="AS5408" s="340"/>
      <c r="AX5408" s="340"/>
      <c r="BB5408" s="340"/>
      <c r="BD5408" s="339"/>
    </row>
    <row r="5409" spans="7:56" s="338" customFormat="1">
      <c r="G5409" s="340"/>
      <c r="L5409" s="340"/>
      <c r="P5409" s="340"/>
      <c r="U5409" s="340"/>
      <c r="V5409" s="340"/>
      <c r="Z5409" s="340"/>
      <c r="AE5409" s="340"/>
      <c r="AI5409" s="340"/>
      <c r="AN5409" s="340"/>
      <c r="AO5409" s="340"/>
      <c r="AS5409" s="340"/>
      <c r="AX5409" s="340"/>
      <c r="BB5409" s="340"/>
      <c r="BD5409" s="339"/>
    </row>
    <row r="5410" spans="7:56" s="338" customFormat="1">
      <c r="G5410" s="340"/>
      <c r="L5410" s="340"/>
      <c r="P5410" s="340"/>
      <c r="U5410" s="340"/>
      <c r="V5410" s="340"/>
      <c r="Z5410" s="340"/>
      <c r="AE5410" s="340"/>
      <c r="AI5410" s="340"/>
      <c r="AN5410" s="340"/>
      <c r="AO5410" s="340"/>
      <c r="AS5410" s="340"/>
      <c r="AX5410" s="340"/>
      <c r="BB5410" s="340"/>
      <c r="BD5410" s="339"/>
    </row>
    <row r="5411" spans="7:56" s="338" customFormat="1">
      <c r="G5411" s="340"/>
      <c r="L5411" s="340"/>
      <c r="P5411" s="340"/>
      <c r="U5411" s="340"/>
      <c r="V5411" s="340"/>
      <c r="Z5411" s="340"/>
      <c r="AE5411" s="340"/>
      <c r="AI5411" s="340"/>
      <c r="AN5411" s="340"/>
      <c r="AO5411" s="340"/>
      <c r="AS5411" s="340"/>
      <c r="AX5411" s="340"/>
      <c r="BB5411" s="340"/>
      <c r="BD5411" s="339"/>
    </row>
    <row r="5412" spans="7:56" s="338" customFormat="1">
      <c r="G5412" s="340"/>
      <c r="L5412" s="340"/>
      <c r="P5412" s="340"/>
      <c r="U5412" s="340"/>
      <c r="V5412" s="340"/>
      <c r="Z5412" s="340"/>
      <c r="AE5412" s="340"/>
      <c r="AI5412" s="340"/>
      <c r="AN5412" s="340"/>
      <c r="AO5412" s="340"/>
      <c r="AS5412" s="340"/>
      <c r="AX5412" s="340"/>
      <c r="BB5412" s="340"/>
      <c r="BD5412" s="339"/>
    </row>
    <row r="5413" spans="7:56" s="338" customFormat="1">
      <c r="G5413" s="340"/>
      <c r="L5413" s="340"/>
      <c r="P5413" s="340"/>
      <c r="U5413" s="340"/>
      <c r="V5413" s="340"/>
      <c r="Z5413" s="340"/>
      <c r="AE5413" s="340"/>
      <c r="AI5413" s="340"/>
      <c r="AN5413" s="340"/>
      <c r="AO5413" s="340"/>
      <c r="AS5413" s="340"/>
      <c r="AX5413" s="340"/>
      <c r="BB5413" s="340"/>
      <c r="BD5413" s="339"/>
    </row>
    <row r="5414" spans="7:56" s="338" customFormat="1">
      <c r="G5414" s="340"/>
      <c r="L5414" s="340"/>
      <c r="P5414" s="340"/>
      <c r="U5414" s="340"/>
      <c r="V5414" s="340"/>
      <c r="Z5414" s="340"/>
      <c r="AE5414" s="340"/>
      <c r="AI5414" s="340"/>
      <c r="AN5414" s="340"/>
      <c r="AO5414" s="340"/>
      <c r="AS5414" s="340"/>
      <c r="AX5414" s="340"/>
      <c r="BB5414" s="340"/>
      <c r="BD5414" s="339"/>
    </row>
    <row r="5415" spans="7:56" s="338" customFormat="1">
      <c r="G5415" s="340"/>
      <c r="L5415" s="340"/>
      <c r="P5415" s="340"/>
      <c r="U5415" s="340"/>
      <c r="V5415" s="340"/>
      <c r="Z5415" s="340"/>
      <c r="AE5415" s="340"/>
      <c r="AI5415" s="340"/>
      <c r="AN5415" s="340"/>
      <c r="AO5415" s="340"/>
      <c r="AS5415" s="340"/>
      <c r="AX5415" s="340"/>
      <c r="BB5415" s="340"/>
      <c r="BD5415" s="339"/>
    </row>
    <row r="5416" spans="7:56" s="338" customFormat="1">
      <c r="G5416" s="340"/>
      <c r="L5416" s="340"/>
      <c r="P5416" s="340"/>
      <c r="U5416" s="340"/>
      <c r="V5416" s="340"/>
      <c r="Z5416" s="340"/>
      <c r="AE5416" s="340"/>
      <c r="AI5416" s="340"/>
      <c r="AN5416" s="340"/>
      <c r="AO5416" s="340"/>
      <c r="AS5416" s="340"/>
      <c r="AX5416" s="340"/>
      <c r="BB5416" s="340"/>
      <c r="BD5416" s="339"/>
    </row>
    <row r="5417" spans="7:56" s="338" customFormat="1">
      <c r="G5417" s="340"/>
      <c r="L5417" s="340"/>
      <c r="P5417" s="340"/>
      <c r="U5417" s="340"/>
      <c r="V5417" s="340"/>
      <c r="Z5417" s="340"/>
      <c r="AE5417" s="340"/>
      <c r="AI5417" s="340"/>
      <c r="AN5417" s="340"/>
      <c r="AO5417" s="340"/>
      <c r="AS5417" s="340"/>
      <c r="AX5417" s="340"/>
      <c r="BB5417" s="340"/>
      <c r="BD5417" s="339"/>
    </row>
    <row r="5418" spans="7:56" s="338" customFormat="1">
      <c r="G5418" s="340"/>
      <c r="L5418" s="340"/>
      <c r="P5418" s="340"/>
      <c r="U5418" s="340"/>
      <c r="V5418" s="340"/>
      <c r="Z5418" s="340"/>
      <c r="AE5418" s="340"/>
      <c r="AI5418" s="340"/>
      <c r="AN5418" s="340"/>
      <c r="AO5418" s="340"/>
      <c r="AS5418" s="340"/>
      <c r="AX5418" s="340"/>
      <c r="BB5418" s="340"/>
      <c r="BD5418" s="339"/>
    </row>
    <row r="5419" spans="7:56" s="338" customFormat="1">
      <c r="G5419" s="340"/>
      <c r="L5419" s="340"/>
      <c r="P5419" s="340"/>
      <c r="U5419" s="340"/>
      <c r="V5419" s="340"/>
      <c r="Z5419" s="340"/>
      <c r="AE5419" s="340"/>
      <c r="AI5419" s="340"/>
      <c r="AN5419" s="340"/>
      <c r="AO5419" s="340"/>
      <c r="AS5419" s="340"/>
      <c r="AX5419" s="340"/>
      <c r="BB5419" s="340"/>
      <c r="BD5419" s="339"/>
    </row>
    <row r="5420" spans="7:56" s="338" customFormat="1">
      <c r="G5420" s="340"/>
      <c r="L5420" s="340"/>
      <c r="P5420" s="340"/>
      <c r="U5420" s="340"/>
      <c r="V5420" s="340"/>
      <c r="Z5420" s="340"/>
      <c r="AE5420" s="340"/>
      <c r="AI5420" s="340"/>
      <c r="AN5420" s="340"/>
      <c r="AO5420" s="340"/>
      <c r="AS5420" s="340"/>
      <c r="AX5420" s="340"/>
      <c r="BB5420" s="340"/>
      <c r="BD5420" s="339"/>
    </row>
    <row r="5421" spans="7:56" s="338" customFormat="1">
      <c r="G5421" s="340"/>
      <c r="L5421" s="340"/>
      <c r="P5421" s="340"/>
      <c r="U5421" s="340"/>
      <c r="V5421" s="340"/>
      <c r="Z5421" s="340"/>
      <c r="AE5421" s="340"/>
      <c r="AI5421" s="340"/>
      <c r="AN5421" s="340"/>
      <c r="AO5421" s="340"/>
      <c r="AS5421" s="340"/>
      <c r="AX5421" s="340"/>
      <c r="BB5421" s="340"/>
      <c r="BD5421" s="339"/>
    </row>
    <row r="5422" spans="7:56" s="338" customFormat="1">
      <c r="G5422" s="340"/>
      <c r="L5422" s="340"/>
      <c r="P5422" s="340"/>
      <c r="U5422" s="340"/>
      <c r="V5422" s="340"/>
      <c r="Z5422" s="340"/>
      <c r="AE5422" s="340"/>
      <c r="AI5422" s="340"/>
      <c r="AN5422" s="340"/>
      <c r="AO5422" s="340"/>
      <c r="AS5422" s="340"/>
      <c r="AX5422" s="340"/>
      <c r="BB5422" s="340"/>
      <c r="BD5422" s="339"/>
    </row>
    <row r="5423" spans="7:56" s="338" customFormat="1">
      <c r="G5423" s="340"/>
      <c r="L5423" s="340"/>
      <c r="P5423" s="340"/>
      <c r="U5423" s="340"/>
      <c r="V5423" s="340"/>
      <c r="Z5423" s="340"/>
      <c r="AE5423" s="340"/>
      <c r="AI5423" s="340"/>
      <c r="AN5423" s="340"/>
      <c r="AO5423" s="340"/>
      <c r="AS5423" s="340"/>
      <c r="AX5423" s="340"/>
      <c r="BB5423" s="340"/>
      <c r="BD5423" s="339"/>
    </row>
    <row r="5424" spans="7:56" s="338" customFormat="1">
      <c r="G5424" s="340"/>
      <c r="L5424" s="340"/>
      <c r="P5424" s="340"/>
      <c r="U5424" s="340"/>
      <c r="V5424" s="340"/>
      <c r="Z5424" s="340"/>
      <c r="AE5424" s="340"/>
      <c r="AI5424" s="340"/>
      <c r="AN5424" s="340"/>
      <c r="AO5424" s="340"/>
      <c r="AS5424" s="340"/>
      <c r="AX5424" s="340"/>
      <c r="BB5424" s="340"/>
      <c r="BD5424" s="339"/>
    </row>
    <row r="5425" spans="7:56" s="338" customFormat="1">
      <c r="G5425" s="340"/>
      <c r="L5425" s="340"/>
      <c r="P5425" s="340"/>
      <c r="U5425" s="340"/>
      <c r="V5425" s="340"/>
      <c r="Z5425" s="340"/>
      <c r="AE5425" s="340"/>
      <c r="AI5425" s="340"/>
      <c r="AN5425" s="340"/>
      <c r="AO5425" s="340"/>
      <c r="AS5425" s="340"/>
      <c r="AX5425" s="340"/>
      <c r="BB5425" s="340"/>
      <c r="BD5425" s="339"/>
    </row>
    <row r="5426" spans="7:56" s="338" customFormat="1">
      <c r="G5426" s="340"/>
      <c r="L5426" s="340"/>
      <c r="P5426" s="340"/>
      <c r="U5426" s="340"/>
      <c r="V5426" s="340"/>
      <c r="Z5426" s="340"/>
      <c r="AE5426" s="340"/>
      <c r="AI5426" s="340"/>
      <c r="AN5426" s="340"/>
      <c r="AO5426" s="340"/>
      <c r="AS5426" s="340"/>
      <c r="AX5426" s="340"/>
      <c r="BB5426" s="340"/>
      <c r="BD5426" s="339"/>
    </row>
    <row r="5427" spans="7:56" s="338" customFormat="1">
      <c r="G5427" s="340"/>
      <c r="L5427" s="340"/>
      <c r="P5427" s="340"/>
      <c r="U5427" s="340"/>
      <c r="V5427" s="340"/>
      <c r="Z5427" s="340"/>
      <c r="AE5427" s="340"/>
      <c r="AI5427" s="340"/>
      <c r="AN5427" s="340"/>
      <c r="AO5427" s="340"/>
      <c r="AS5427" s="340"/>
      <c r="AX5427" s="340"/>
      <c r="BB5427" s="340"/>
      <c r="BD5427" s="339"/>
    </row>
    <row r="5428" spans="7:56" s="338" customFormat="1">
      <c r="G5428" s="340"/>
      <c r="L5428" s="340"/>
      <c r="P5428" s="340"/>
      <c r="U5428" s="340"/>
      <c r="V5428" s="340"/>
      <c r="Z5428" s="340"/>
      <c r="AE5428" s="340"/>
      <c r="AI5428" s="340"/>
      <c r="AN5428" s="340"/>
      <c r="AO5428" s="340"/>
      <c r="AS5428" s="340"/>
      <c r="AX5428" s="340"/>
      <c r="BB5428" s="340"/>
      <c r="BD5428" s="339"/>
    </row>
    <row r="5429" spans="7:56" s="338" customFormat="1">
      <c r="G5429" s="340"/>
      <c r="L5429" s="340"/>
      <c r="P5429" s="340"/>
      <c r="U5429" s="340"/>
      <c r="V5429" s="340"/>
      <c r="Z5429" s="340"/>
      <c r="AE5429" s="340"/>
      <c r="AI5429" s="340"/>
      <c r="AN5429" s="340"/>
      <c r="AO5429" s="340"/>
      <c r="AS5429" s="340"/>
      <c r="AX5429" s="340"/>
      <c r="BB5429" s="340"/>
      <c r="BD5429" s="339"/>
    </row>
    <row r="5430" spans="7:56" s="338" customFormat="1">
      <c r="G5430" s="340"/>
      <c r="L5430" s="340"/>
      <c r="P5430" s="340"/>
      <c r="U5430" s="340"/>
      <c r="V5430" s="340"/>
      <c r="Z5430" s="340"/>
      <c r="AE5430" s="340"/>
      <c r="AI5430" s="340"/>
      <c r="AN5430" s="340"/>
      <c r="AO5430" s="340"/>
      <c r="AS5430" s="340"/>
      <c r="AX5430" s="340"/>
      <c r="BB5430" s="340"/>
      <c r="BD5430" s="339"/>
    </row>
    <row r="5431" spans="7:56" s="338" customFormat="1">
      <c r="G5431" s="340"/>
      <c r="L5431" s="340"/>
      <c r="P5431" s="340"/>
      <c r="U5431" s="340"/>
      <c r="V5431" s="340"/>
      <c r="Z5431" s="340"/>
      <c r="AE5431" s="340"/>
      <c r="AI5431" s="340"/>
      <c r="AN5431" s="340"/>
      <c r="AO5431" s="340"/>
      <c r="AS5431" s="340"/>
      <c r="AX5431" s="340"/>
      <c r="BB5431" s="340"/>
      <c r="BD5431" s="339"/>
    </row>
  </sheetData>
  <mergeCells count="13">
    <mergeCell ref="A19:B19"/>
    <mergeCell ref="A1:B1"/>
    <mergeCell ref="A2:B2"/>
    <mergeCell ref="A6:B6"/>
    <mergeCell ref="A10:B10"/>
    <mergeCell ref="A15:A17"/>
    <mergeCell ref="A41:B41"/>
    <mergeCell ref="AI23:AS23"/>
    <mergeCell ref="A24:B24"/>
    <mergeCell ref="A33:B33"/>
    <mergeCell ref="A38:B38"/>
    <mergeCell ref="A39:B39"/>
    <mergeCell ref="A40:B40"/>
  </mergeCells>
  <pageMargins left="0.15" right="0.13" top="0.4" bottom="0.38" header="0.31496062992125984" footer="0.31496062992125984"/>
  <pageSetup paperSize="9" scale="5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28"/>
  <sheetViews>
    <sheetView showGridLines="0" zoomScaleNormal="100" workbookViewId="0">
      <pane xSplit="2" ySplit="1" topLeftCell="C2" activePane="bottomRight" state="frozen"/>
      <selection pane="topRight" activeCell="C1" sqref="C1"/>
      <selection pane="bottomLeft" activeCell="A2" sqref="A2"/>
      <selection pane="bottomRight" activeCell="B3" sqref="B3"/>
    </sheetView>
  </sheetViews>
  <sheetFormatPr defaultRowHeight="15"/>
  <cols>
    <col min="1" max="1" width="4.42578125" style="335" customWidth="1"/>
    <col min="2" max="2" width="52.42578125" style="335" customWidth="1"/>
    <col min="3" max="3" width="9.42578125" style="558" customWidth="1"/>
    <col min="4" max="6" width="7.5703125" style="559" customWidth="1"/>
    <col min="7" max="7" width="9.7109375" style="558" bestFit="1" customWidth="1"/>
    <col min="8" max="8" width="7.140625" style="559" customWidth="1"/>
    <col min="9" max="9" width="8.42578125" style="559" bestFit="1" customWidth="1"/>
    <col min="10" max="10" width="8.28515625" style="559" customWidth="1"/>
    <col min="11" max="11" width="9.7109375" style="560" bestFit="1" customWidth="1"/>
    <col min="12" max="12" width="8.140625" style="560" customWidth="1"/>
    <col min="13" max="13" width="10.140625" style="560" customWidth="1"/>
    <col min="14" max="256" width="9.140625" style="335"/>
    <col min="257" max="257" width="4.42578125" style="335" customWidth="1"/>
    <col min="258" max="258" width="52.42578125" style="335" customWidth="1"/>
    <col min="259" max="259" width="9.42578125" style="335" customWidth="1"/>
    <col min="260" max="262" width="7.5703125" style="335" customWidth="1"/>
    <col min="263" max="263" width="9.7109375" style="335" bestFit="1" customWidth="1"/>
    <col min="264" max="264" width="7.140625" style="335" customWidth="1"/>
    <col min="265" max="265" width="8.42578125" style="335" bestFit="1" customWidth="1"/>
    <col min="266" max="266" width="8.28515625" style="335" customWidth="1"/>
    <col min="267" max="267" width="9.7109375" style="335" bestFit="1" customWidth="1"/>
    <col min="268" max="268" width="8.140625" style="335" customWidth="1"/>
    <col min="269" max="269" width="10.140625" style="335" customWidth="1"/>
    <col min="270" max="512" width="9.140625" style="335"/>
    <col min="513" max="513" width="4.42578125" style="335" customWidth="1"/>
    <col min="514" max="514" width="52.42578125" style="335" customWidth="1"/>
    <col min="515" max="515" width="9.42578125" style="335" customWidth="1"/>
    <col min="516" max="518" width="7.5703125" style="335" customWidth="1"/>
    <col min="519" max="519" width="9.7109375" style="335" bestFit="1" customWidth="1"/>
    <col min="520" max="520" width="7.140625" style="335" customWidth="1"/>
    <col min="521" max="521" width="8.42578125" style="335" bestFit="1" customWidth="1"/>
    <col min="522" max="522" width="8.28515625" style="335" customWidth="1"/>
    <col min="523" max="523" width="9.7109375" style="335" bestFit="1" customWidth="1"/>
    <col min="524" max="524" width="8.140625" style="335" customWidth="1"/>
    <col min="525" max="525" width="10.140625" style="335" customWidth="1"/>
    <col min="526" max="768" width="9.140625" style="335"/>
    <col min="769" max="769" width="4.42578125" style="335" customWidth="1"/>
    <col min="770" max="770" width="52.42578125" style="335" customWidth="1"/>
    <col min="771" max="771" width="9.42578125" style="335" customWidth="1"/>
    <col min="772" max="774" width="7.5703125" style="335" customWidth="1"/>
    <col min="775" max="775" width="9.7109375" style="335" bestFit="1" customWidth="1"/>
    <col min="776" max="776" width="7.140625" style="335" customWidth="1"/>
    <col min="777" max="777" width="8.42578125" style="335" bestFit="1" customWidth="1"/>
    <col min="778" max="778" width="8.28515625" style="335" customWidth="1"/>
    <col min="779" max="779" width="9.7109375" style="335" bestFit="1" customWidth="1"/>
    <col min="780" max="780" width="8.140625" style="335" customWidth="1"/>
    <col min="781" max="781" width="10.140625" style="335" customWidth="1"/>
    <col min="782" max="1024" width="9.140625" style="335"/>
    <col min="1025" max="1025" width="4.42578125" style="335" customWidth="1"/>
    <col min="1026" max="1026" width="52.42578125" style="335" customWidth="1"/>
    <col min="1027" max="1027" width="9.42578125" style="335" customWidth="1"/>
    <col min="1028" max="1030" width="7.5703125" style="335" customWidth="1"/>
    <col min="1031" max="1031" width="9.7109375" style="335" bestFit="1" customWidth="1"/>
    <col min="1032" max="1032" width="7.140625" style="335" customWidth="1"/>
    <col min="1033" max="1033" width="8.42578125" style="335" bestFit="1" customWidth="1"/>
    <col min="1034" max="1034" width="8.28515625" style="335" customWidth="1"/>
    <col min="1035" max="1035" width="9.7109375" style="335" bestFit="1" customWidth="1"/>
    <col min="1036" max="1036" width="8.140625" style="335" customWidth="1"/>
    <col min="1037" max="1037" width="10.140625" style="335" customWidth="1"/>
    <col min="1038" max="1280" width="9.140625" style="335"/>
    <col min="1281" max="1281" width="4.42578125" style="335" customWidth="1"/>
    <col min="1282" max="1282" width="52.42578125" style="335" customWidth="1"/>
    <col min="1283" max="1283" width="9.42578125" style="335" customWidth="1"/>
    <col min="1284" max="1286" width="7.5703125" style="335" customWidth="1"/>
    <col min="1287" max="1287" width="9.7109375" style="335" bestFit="1" customWidth="1"/>
    <col min="1288" max="1288" width="7.140625" style="335" customWidth="1"/>
    <col min="1289" max="1289" width="8.42578125" style="335" bestFit="1" customWidth="1"/>
    <col min="1290" max="1290" width="8.28515625" style="335" customWidth="1"/>
    <col min="1291" max="1291" width="9.7109375" style="335" bestFit="1" customWidth="1"/>
    <col min="1292" max="1292" width="8.140625" style="335" customWidth="1"/>
    <col min="1293" max="1293" width="10.140625" style="335" customWidth="1"/>
    <col min="1294" max="1536" width="9.140625" style="335"/>
    <col min="1537" max="1537" width="4.42578125" style="335" customWidth="1"/>
    <col min="1538" max="1538" width="52.42578125" style="335" customWidth="1"/>
    <col min="1539" max="1539" width="9.42578125" style="335" customWidth="1"/>
    <col min="1540" max="1542" width="7.5703125" style="335" customWidth="1"/>
    <col min="1543" max="1543" width="9.7109375" style="335" bestFit="1" customWidth="1"/>
    <col min="1544" max="1544" width="7.140625" style="335" customWidth="1"/>
    <col min="1545" max="1545" width="8.42578125" style="335" bestFit="1" customWidth="1"/>
    <col min="1546" max="1546" width="8.28515625" style="335" customWidth="1"/>
    <col min="1547" max="1547" width="9.7109375" style="335" bestFit="1" customWidth="1"/>
    <col min="1548" max="1548" width="8.140625" style="335" customWidth="1"/>
    <col min="1549" max="1549" width="10.140625" style="335" customWidth="1"/>
    <col min="1550" max="1792" width="9.140625" style="335"/>
    <col min="1793" max="1793" width="4.42578125" style="335" customWidth="1"/>
    <col min="1794" max="1794" width="52.42578125" style="335" customWidth="1"/>
    <col min="1795" max="1795" width="9.42578125" style="335" customWidth="1"/>
    <col min="1796" max="1798" width="7.5703125" style="335" customWidth="1"/>
    <col min="1799" max="1799" width="9.7109375" style="335" bestFit="1" customWidth="1"/>
    <col min="1800" max="1800" width="7.140625" style="335" customWidth="1"/>
    <col min="1801" max="1801" width="8.42578125" style="335" bestFit="1" customWidth="1"/>
    <col min="1802" max="1802" width="8.28515625" style="335" customWidth="1"/>
    <col min="1803" max="1803" width="9.7109375" style="335" bestFit="1" customWidth="1"/>
    <col min="1804" max="1804" width="8.140625" style="335" customWidth="1"/>
    <col min="1805" max="1805" width="10.140625" style="335" customWidth="1"/>
    <col min="1806" max="2048" width="9.140625" style="335"/>
    <col min="2049" max="2049" width="4.42578125" style="335" customWidth="1"/>
    <col min="2050" max="2050" width="52.42578125" style="335" customWidth="1"/>
    <col min="2051" max="2051" width="9.42578125" style="335" customWidth="1"/>
    <col min="2052" max="2054" width="7.5703125" style="335" customWidth="1"/>
    <col min="2055" max="2055" width="9.7109375" style="335" bestFit="1" customWidth="1"/>
    <col min="2056" max="2056" width="7.140625" style="335" customWidth="1"/>
    <col min="2057" max="2057" width="8.42578125" style="335" bestFit="1" customWidth="1"/>
    <col min="2058" max="2058" width="8.28515625" style="335" customWidth="1"/>
    <col min="2059" max="2059" width="9.7109375" style="335" bestFit="1" customWidth="1"/>
    <col min="2060" max="2060" width="8.140625" style="335" customWidth="1"/>
    <col min="2061" max="2061" width="10.140625" style="335" customWidth="1"/>
    <col min="2062" max="2304" width="9.140625" style="335"/>
    <col min="2305" max="2305" width="4.42578125" style="335" customWidth="1"/>
    <col min="2306" max="2306" width="52.42578125" style="335" customWidth="1"/>
    <col min="2307" max="2307" width="9.42578125" style="335" customWidth="1"/>
    <col min="2308" max="2310" width="7.5703125" style="335" customWidth="1"/>
    <col min="2311" max="2311" width="9.7109375" style="335" bestFit="1" customWidth="1"/>
    <col min="2312" max="2312" width="7.140625" style="335" customWidth="1"/>
    <col min="2313" max="2313" width="8.42578125" style="335" bestFit="1" customWidth="1"/>
    <col min="2314" max="2314" width="8.28515625" style="335" customWidth="1"/>
    <col min="2315" max="2315" width="9.7109375" style="335" bestFit="1" customWidth="1"/>
    <col min="2316" max="2316" width="8.140625" style="335" customWidth="1"/>
    <col min="2317" max="2317" width="10.140625" style="335" customWidth="1"/>
    <col min="2318" max="2560" width="9.140625" style="335"/>
    <col min="2561" max="2561" width="4.42578125" style="335" customWidth="1"/>
    <col min="2562" max="2562" width="52.42578125" style="335" customWidth="1"/>
    <col min="2563" max="2563" width="9.42578125" style="335" customWidth="1"/>
    <col min="2564" max="2566" width="7.5703125" style="335" customWidth="1"/>
    <col min="2567" max="2567" width="9.7109375" style="335" bestFit="1" customWidth="1"/>
    <col min="2568" max="2568" width="7.140625" style="335" customWidth="1"/>
    <col min="2569" max="2569" width="8.42578125" style="335" bestFit="1" customWidth="1"/>
    <col min="2570" max="2570" width="8.28515625" style="335" customWidth="1"/>
    <col min="2571" max="2571" width="9.7109375" style="335" bestFit="1" customWidth="1"/>
    <col min="2572" max="2572" width="8.140625" style="335" customWidth="1"/>
    <col min="2573" max="2573" width="10.140625" style="335" customWidth="1"/>
    <col min="2574" max="2816" width="9.140625" style="335"/>
    <col min="2817" max="2817" width="4.42578125" style="335" customWidth="1"/>
    <col min="2818" max="2818" width="52.42578125" style="335" customWidth="1"/>
    <col min="2819" max="2819" width="9.42578125" style="335" customWidth="1"/>
    <col min="2820" max="2822" width="7.5703125" style="335" customWidth="1"/>
    <col min="2823" max="2823" width="9.7109375" style="335" bestFit="1" customWidth="1"/>
    <col min="2824" max="2824" width="7.140625" style="335" customWidth="1"/>
    <col min="2825" max="2825" width="8.42578125" style="335" bestFit="1" customWidth="1"/>
    <col min="2826" max="2826" width="8.28515625" style="335" customWidth="1"/>
    <col min="2827" max="2827" width="9.7109375" style="335" bestFit="1" customWidth="1"/>
    <col min="2828" max="2828" width="8.140625" style="335" customWidth="1"/>
    <col min="2829" max="2829" width="10.140625" style="335" customWidth="1"/>
    <col min="2830" max="3072" width="9.140625" style="335"/>
    <col min="3073" max="3073" width="4.42578125" style="335" customWidth="1"/>
    <col min="3074" max="3074" width="52.42578125" style="335" customWidth="1"/>
    <col min="3075" max="3075" width="9.42578125" style="335" customWidth="1"/>
    <col min="3076" max="3078" width="7.5703125" style="335" customWidth="1"/>
    <col min="3079" max="3079" width="9.7109375" style="335" bestFit="1" customWidth="1"/>
    <col min="3080" max="3080" width="7.140625" style="335" customWidth="1"/>
    <col min="3081" max="3081" width="8.42578125" style="335" bestFit="1" customWidth="1"/>
    <col min="3082" max="3082" width="8.28515625" style="335" customWidth="1"/>
    <col min="3083" max="3083" width="9.7109375" style="335" bestFit="1" customWidth="1"/>
    <col min="3084" max="3084" width="8.140625" style="335" customWidth="1"/>
    <col min="3085" max="3085" width="10.140625" style="335" customWidth="1"/>
    <col min="3086" max="3328" width="9.140625" style="335"/>
    <col min="3329" max="3329" width="4.42578125" style="335" customWidth="1"/>
    <col min="3330" max="3330" width="52.42578125" style="335" customWidth="1"/>
    <col min="3331" max="3331" width="9.42578125" style="335" customWidth="1"/>
    <col min="3332" max="3334" width="7.5703125" style="335" customWidth="1"/>
    <col min="3335" max="3335" width="9.7109375" style="335" bestFit="1" customWidth="1"/>
    <col min="3336" max="3336" width="7.140625" style="335" customWidth="1"/>
    <col min="3337" max="3337" width="8.42578125" style="335" bestFit="1" customWidth="1"/>
    <col min="3338" max="3338" width="8.28515625" style="335" customWidth="1"/>
    <col min="3339" max="3339" width="9.7109375" style="335" bestFit="1" customWidth="1"/>
    <col min="3340" max="3340" width="8.140625" style="335" customWidth="1"/>
    <col min="3341" max="3341" width="10.140625" style="335" customWidth="1"/>
    <col min="3342" max="3584" width="9.140625" style="335"/>
    <col min="3585" max="3585" width="4.42578125" style="335" customWidth="1"/>
    <col min="3586" max="3586" width="52.42578125" style="335" customWidth="1"/>
    <col min="3587" max="3587" width="9.42578125" style="335" customWidth="1"/>
    <col min="3588" max="3590" width="7.5703125" style="335" customWidth="1"/>
    <col min="3591" max="3591" width="9.7109375" style="335" bestFit="1" customWidth="1"/>
    <col min="3592" max="3592" width="7.140625" style="335" customWidth="1"/>
    <col min="3593" max="3593" width="8.42578125" style="335" bestFit="1" customWidth="1"/>
    <col min="3594" max="3594" width="8.28515625" style="335" customWidth="1"/>
    <col min="3595" max="3595" width="9.7109375" style="335" bestFit="1" customWidth="1"/>
    <col min="3596" max="3596" width="8.140625" style="335" customWidth="1"/>
    <col min="3597" max="3597" width="10.140625" style="335" customWidth="1"/>
    <col min="3598" max="3840" width="9.140625" style="335"/>
    <col min="3841" max="3841" width="4.42578125" style="335" customWidth="1"/>
    <col min="3842" max="3842" width="52.42578125" style="335" customWidth="1"/>
    <col min="3843" max="3843" width="9.42578125" style="335" customWidth="1"/>
    <col min="3844" max="3846" width="7.5703125" style="335" customWidth="1"/>
    <col min="3847" max="3847" width="9.7109375" style="335" bestFit="1" customWidth="1"/>
    <col min="3848" max="3848" width="7.140625" style="335" customWidth="1"/>
    <col min="3849" max="3849" width="8.42578125" style="335" bestFit="1" customWidth="1"/>
    <col min="3850" max="3850" width="8.28515625" style="335" customWidth="1"/>
    <col min="3851" max="3851" width="9.7109375" style="335" bestFit="1" customWidth="1"/>
    <col min="3852" max="3852" width="8.140625" style="335" customWidth="1"/>
    <col min="3853" max="3853" width="10.140625" style="335" customWidth="1"/>
    <col min="3854" max="4096" width="9.140625" style="335"/>
    <col min="4097" max="4097" width="4.42578125" style="335" customWidth="1"/>
    <col min="4098" max="4098" width="52.42578125" style="335" customWidth="1"/>
    <col min="4099" max="4099" width="9.42578125" style="335" customWidth="1"/>
    <col min="4100" max="4102" width="7.5703125" style="335" customWidth="1"/>
    <col min="4103" max="4103" width="9.7109375" style="335" bestFit="1" customWidth="1"/>
    <col min="4104" max="4104" width="7.140625" style="335" customWidth="1"/>
    <col min="4105" max="4105" width="8.42578125" style="335" bestFit="1" customWidth="1"/>
    <col min="4106" max="4106" width="8.28515625" style="335" customWidth="1"/>
    <col min="4107" max="4107" width="9.7109375" style="335" bestFit="1" customWidth="1"/>
    <col min="4108" max="4108" width="8.140625" style="335" customWidth="1"/>
    <col min="4109" max="4109" width="10.140625" style="335" customWidth="1"/>
    <col min="4110" max="4352" width="9.140625" style="335"/>
    <col min="4353" max="4353" width="4.42578125" style="335" customWidth="1"/>
    <col min="4354" max="4354" width="52.42578125" style="335" customWidth="1"/>
    <col min="4355" max="4355" width="9.42578125" style="335" customWidth="1"/>
    <col min="4356" max="4358" width="7.5703125" style="335" customWidth="1"/>
    <col min="4359" max="4359" width="9.7109375" style="335" bestFit="1" customWidth="1"/>
    <col min="4360" max="4360" width="7.140625" style="335" customWidth="1"/>
    <col min="4361" max="4361" width="8.42578125" style="335" bestFit="1" customWidth="1"/>
    <col min="4362" max="4362" width="8.28515625" style="335" customWidth="1"/>
    <col min="4363" max="4363" width="9.7109375" style="335" bestFit="1" customWidth="1"/>
    <col min="4364" max="4364" width="8.140625" style="335" customWidth="1"/>
    <col min="4365" max="4365" width="10.140625" style="335" customWidth="1"/>
    <col min="4366" max="4608" width="9.140625" style="335"/>
    <col min="4609" max="4609" width="4.42578125" style="335" customWidth="1"/>
    <col min="4610" max="4610" width="52.42578125" style="335" customWidth="1"/>
    <col min="4611" max="4611" width="9.42578125" style="335" customWidth="1"/>
    <col min="4612" max="4614" width="7.5703125" style="335" customWidth="1"/>
    <col min="4615" max="4615" width="9.7109375" style="335" bestFit="1" customWidth="1"/>
    <col min="4616" max="4616" width="7.140625" style="335" customWidth="1"/>
    <col min="4617" max="4617" width="8.42578125" style="335" bestFit="1" customWidth="1"/>
    <col min="4618" max="4618" width="8.28515625" style="335" customWidth="1"/>
    <col min="4619" max="4619" width="9.7109375" style="335" bestFit="1" customWidth="1"/>
    <col min="4620" max="4620" width="8.140625" style="335" customWidth="1"/>
    <col min="4621" max="4621" width="10.140625" style="335" customWidth="1"/>
    <col min="4622" max="4864" width="9.140625" style="335"/>
    <col min="4865" max="4865" width="4.42578125" style="335" customWidth="1"/>
    <col min="4866" max="4866" width="52.42578125" style="335" customWidth="1"/>
    <col min="4867" max="4867" width="9.42578125" style="335" customWidth="1"/>
    <col min="4868" max="4870" width="7.5703125" style="335" customWidth="1"/>
    <col min="4871" max="4871" width="9.7109375" style="335" bestFit="1" customWidth="1"/>
    <col min="4872" max="4872" width="7.140625" style="335" customWidth="1"/>
    <col min="4873" max="4873" width="8.42578125" style="335" bestFit="1" customWidth="1"/>
    <col min="4874" max="4874" width="8.28515625" style="335" customWidth="1"/>
    <col min="4875" max="4875" width="9.7109375" style="335" bestFit="1" customWidth="1"/>
    <col min="4876" max="4876" width="8.140625" style="335" customWidth="1"/>
    <col min="4877" max="4877" width="10.140625" style="335" customWidth="1"/>
    <col min="4878" max="5120" width="9.140625" style="335"/>
    <col min="5121" max="5121" width="4.42578125" style="335" customWidth="1"/>
    <col min="5122" max="5122" width="52.42578125" style="335" customWidth="1"/>
    <col min="5123" max="5123" width="9.42578125" style="335" customWidth="1"/>
    <col min="5124" max="5126" width="7.5703125" style="335" customWidth="1"/>
    <col min="5127" max="5127" width="9.7109375" style="335" bestFit="1" customWidth="1"/>
    <col min="5128" max="5128" width="7.140625" style="335" customWidth="1"/>
    <col min="5129" max="5129" width="8.42578125" style="335" bestFit="1" customWidth="1"/>
    <col min="5130" max="5130" width="8.28515625" style="335" customWidth="1"/>
    <col min="5131" max="5131" width="9.7109375" style="335" bestFit="1" customWidth="1"/>
    <col min="5132" max="5132" width="8.140625" style="335" customWidth="1"/>
    <col min="5133" max="5133" width="10.140625" style="335" customWidth="1"/>
    <col min="5134" max="5376" width="9.140625" style="335"/>
    <col min="5377" max="5377" width="4.42578125" style="335" customWidth="1"/>
    <col min="5378" max="5378" width="52.42578125" style="335" customWidth="1"/>
    <col min="5379" max="5379" width="9.42578125" style="335" customWidth="1"/>
    <col min="5380" max="5382" width="7.5703125" style="335" customWidth="1"/>
    <col min="5383" max="5383" width="9.7109375" style="335" bestFit="1" customWidth="1"/>
    <col min="5384" max="5384" width="7.140625" style="335" customWidth="1"/>
    <col min="5385" max="5385" width="8.42578125" style="335" bestFit="1" customWidth="1"/>
    <col min="5386" max="5386" width="8.28515625" style="335" customWidth="1"/>
    <col min="5387" max="5387" width="9.7109375" style="335" bestFit="1" customWidth="1"/>
    <col min="5388" max="5388" width="8.140625" style="335" customWidth="1"/>
    <col min="5389" max="5389" width="10.140625" style="335" customWidth="1"/>
    <col min="5390" max="5632" width="9.140625" style="335"/>
    <col min="5633" max="5633" width="4.42578125" style="335" customWidth="1"/>
    <col min="5634" max="5634" width="52.42578125" style="335" customWidth="1"/>
    <col min="5635" max="5635" width="9.42578125" style="335" customWidth="1"/>
    <col min="5636" max="5638" width="7.5703125" style="335" customWidth="1"/>
    <col min="5639" max="5639" width="9.7109375" style="335" bestFit="1" customWidth="1"/>
    <col min="5640" max="5640" width="7.140625" style="335" customWidth="1"/>
    <col min="5641" max="5641" width="8.42578125" style="335" bestFit="1" customWidth="1"/>
    <col min="5642" max="5642" width="8.28515625" style="335" customWidth="1"/>
    <col min="5643" max="5643" width="9.7109375" style="335" bestFit="1" customWidth="1"/>
    <col min="5644" max="5644" width="8.140625" style="335" customWidth="1"/>
    <col min="5645" max="5645" width="10.140625" style="335" customWidth="1"/>
    <col min="5646" max="5888" width="9.140625" style="335"/>
    <col min="5889" max="5889" width="4.42578125" style="335" customWidth="1"/>
    <col min="5890" max="5890" width="52.42578125" style="335" customWidth="1"/>
    <col min="5891" max="5891" width="9.42578125" style="335" customWidth="1"/>
    <col min="5892" max="5894" width="7.5703125" style="335" customWidth="1"/>
    <col min="5895" max="5895" width="9.7109375" style="335" bestFit="1" customWidth="1"/>
    <col min="5896" max="5896" width="7.140625" style="335" customWidth="1"/>
    <col min="5897" max="5897" width="8.42578125" style="335" bestFit="1" customWidth="1"/>
    <col min="5898" max="5898" width="8.28515625" style="335" customWidth="1"/>
    <col min="5899" max="5899" width="9.7109375" style="335" bestFit="1" customWidth="1"/>
    <col min="5900" max="5900" width="8.140625" style="335" customWidth="1"/>
    <col min="5901" max="5901" width="10.140625" style="335" customWidth="1"/>
    <col min="5902" max="6144" width="9.140625" style="335"/>
    <col min="6145" max="6145" width="4.42578125" style="335" customWidth="1"/>
    <col min="6146" max="6146" width="52.42578125" style="335" customWidth="1"/>
    <col min="6147" max="6147" width="9.42578125" style="335" customWidth="1"/>
    <col min="6148" max="6150" width="7.5703125" style="335" customWidth="1"/>
    <col min="6151" max="6151" width="9.7109375" style="335" bestFit="1" customWidth="1"/>
    <col min="6152" max="6152" width="7.140625" style="335" customWidth="1"/>
    <col min="6153" max="6153" width="8.42578125" style="335" bestFit="1" customWidth="1"/>
    <col min="6154" max="6154" width="8.28515625" style="335" customWidth="1"/>
    <col min="6155" max="6155" width="9.7109375" style="335" bestFit="1" customWidth="1"/>
    <col min="6156" max="6156" width="8.140625" style="335" customWidth="1"/>
    <col min="6157" max="6157" width="10.140625" style="335" customWidth="1"/>
    <col min="6158" max="6400" width="9.140625" style="335"/>
    <col min="6401" max="6401" width="4.42578125" style="335" customWidth="1"/>
    <col min="6402" max="6402" width="52.42578125" style="335" customWidth="1"/>
    <col min="6403" max="6403" width="9.42578125" style="335" customWidth="1"/>
    <col min="6404" max="6406" width="7.5703125" style="335" customWidth="1"/>
    <col min="6407" max="6407" width="9.7109375" style="335" bestFit="1" customWidth="1"/>
    <col min="6408" max="6408" width="7.140625" style="335" customWidth="1"/>
    <col min="6409" max="6409" width="8.42578125" style="335" bestFit="1" customWidth="1"/>
    <col min="6410" max="6410" width="8.28515625" style="335" customWidth="1"/>
    <col min="6411" max="6411" width="9.7109375" style="335" bestFit="1" customWidth="1"/>
    <col min="6412" max="6412" width="8.140625" style="335" customWidth="1"/>
    <col min="6413" max="6413" width="10.140625" style="335" customWidth="1"/>
    <col min="6414" max="6656" width="9.140625" style="335"/>
    <col min="6657" max="6657" width="4.42578125" style="335" customWidth="1"/>
    <col min="6658" max="6658" width="52.42578125" style="335" customWidth="1"/>
    <col min="6659" max="6659" width="9.42578125" style="335" customWidth="1"/>
    <col min="6660" max="6662" width="7.5703125" style="335" customWidth="1"/>
    <col min="6663" max="6663" width="9.7109375" style="335" bestFit="1" customWidth="1"/>
    <col min="6664" max="6664" width="7.140625" style="335" customWidth="1"/>
    <col min="6665" max="6665" width="8.42578125" style="335" bestFit="1" customWidth="1"/>
    <col min="6666" max="6666" width="8.28515625" style="335" customWidth="1"/>
    <col min="6667" max="6667" width="9.7109375" style="335" bestFit="1" customWidth="1"/>
    <col min="6668" max="6668" width="8.140625" style="335" customWidth="1"/>
    <col min="6669" max="6669" width="10.140625" style="335" customWidth="1"/>
    <col min="6670" max="6912" width="9.140625" style="335"/>
    <col min="6913" max="6913" width="4.42578125" style="335" customWidth="1"/>
    <col min="6914" max="6914" width="52.42578125" style="335" customWidth="1"/>
    <col min="6915" max="6915" width="9.42578125" style="335" customWidth="1"/>
    <col min="6916" max="6918" width="7.5703125" style="335" customWidth="1"/>
    <col min="6919" max="6919" width="9.7109375" style="335" bestFit="1" customWidth="1"/>
    <col min="6920" max="6920" width="7.140625" style="335" customWidth="1"/>
    <col min="6921" max="6921" width="8.42578125" style="335" bestFit="1" customWidth="1"/>
    <col min="6922" max="6922" width="8.28515625" style="335" customWidth="1"/>
    <col min="6923" max="6923" width="9.7109375" style="335" bestFit="1" customWidth="1"/>
    <col min="6924" max="6924" width="8.140625" style="335" customWidth="1"/>
    <col min="6925" max="6925" width="10.140625" style="335" customWidth="1"/>
    <col min="6926" max="7168" width="9.140625" style="335"/>
    <col min="7169" max="7169" width="4.42578125" style="335" customWidth="1"/>
    <col min="7170" max="7170" width="52.42578125" style="335" customWidth="1"/>
    <col min="7171" max="7171" width="9.42578125" style="335" customWidth="1"/>
    <col min="7172" max="7174" width="7.5703125" style="335" customWidth="1"/>
    <col min="7175" max="7175" width="9.7109375" style="335" bestFit="1" customWidth="1"/>
    <col min="7176" max="7176" width="7.140625" style="335" customWidth="1"/>
    <col min="7177" max="7177" width="8.42578125" style="335" bestFit="1" customWidth="1"/>
    <col min="7178" max="7178" width="8.28515625" style="335" customWidth="1"/>
    <col min="7179" max="7179" width="9.7109375" style="335" bestFit="1" customWidth="1"/>
    <col min="7180" max="7180" width="8.140625" style="335" customWidth="1"/>
    <col min="7181" max="7181" width="10.140625" style="335" customWidth="1"/>
    <col min="7182" max="7424" width="9.140625" style="335"/>
    <col min="7425" max="7425" width="4.42578125" style="335" customWidth="1"/>
    <col min="7426" max="7426" width="52.42578125" style="335" customWidth="1"/>
    <col min="7427" max="7427" width="9.42578125" style="335" customWidth="1"/>
    <col min="7428" max="7430" width="7.5703125" style="335" customWidth="1"/>
    <col min="7431" max="7431" width="9.7109375" style="335" bestFit="1" customWidth="1"/>
    <col min="7432" max="7432" width="7.140625" style="335" customWidth="1"/>
    <col min="7433" max="7433" width="8.42578125" style="335" bestFit="1" customWidth="1"/>
    <col min="7434" max="7434" width="8.28515625" style="335" customWidth="1"/>
    <col min="7435" max="7435" width="9.7109375" style="335" bestFit="1" customWidth="1"/>
    <col min="7436" max="7436" width="8.140625" style="335" customWidth="1"/>
    <col min="7437" max="7437" width="10.140625" style="335" customWidth="1"/>
    <col min="7438" max="7680" width="9.140625" style="335"/>
    <col min="7681" max="7681" width="4.42578125" style="335" customWidth="1"/>
    <col min="7682" max="7682" width="52.42578125" style="335" customWidth="1"/>
    <col min="7683" max="7683" width="9.42578125" style="335" customWidth="1"/>
    <col min="7684" max="7686" width="7.5703125" style="335" customWidth="1"/>
    <col min="7687" max="7687" width="9.7109375" style="335" bestFit="1" customWidth="1"/>
    <col min="7688" max="7688" width="7.140625" style="335" customWidth="1"/>
    <col min="7689" max="7689" width="8.42578125" style="335" bestFit="1" customWidth="1"/>
    <col min="7690" max="7690" width="8.28515625" style="335" customWidth="1"/>
    <col min="7691" max="7691" width="9.7109375" style="335" bestFit="1" customWidth="1"/>
    <col min="7692" max="7692" width="8.140625" style="335" customWidth="1"/>
    <col min="7693" max="7693" width="10.140625" style="335" customWidth="1"/>
    <col min="7694" max="7936" width="9.140625" style="335"/>
    <col min="7937" max="7937" width="4.42578125" style="335" customWidth="1"/>
    <col min="7938" max="7938" width="52.42578125" style="335" customWidth="1"/>
    <col min="7939" max="7939" width="9.42578125" style="335" customWidth="1"/>
    <col min="7940" max="7942" width="7.5703125" style="335" customWidth="1"/>
    <col min="7943" max="7943" width="9.7109375" style="335" bestFit="1" customWidth="1"/>
    <col min="7944" max="7944" width="7.140625" style="335" customWidth="1"/>
    <col min="7945" max="7945" width="8.42578125" style="335" bestFit="1" customWidth="1"/>
    <col min="7946" max="7946" width="8.28515625" style="335" customWidth="1"/>
    <col min="7947" max="7947" width="9.7109375" style="335" bestFit="1" customWidth="1"/>
    <col min="7948" max="7948" width="8.140625" style="335" customWidth="1"/>
    <col min="7949" max="7949" width="10.140625" style="335" customWidth="1"/>
    <col min="7950" max="8192" width="9.140625" style="335"/>
    <col min="8193" max="8193" width="4.42578125" style="335" customWidth="1"/>
    <col min="8194" max="8194" width="52.42578125" style="335" customWidth="1"/>
    <col min="8195" max="8195" width="9.42578125" style="335" customWidth="1"/>
    <col min="8196" max="8198" width="7.5703125" style="335" customWidth="1"/>
    <col min="8199" max="8199" width="9.7109375" style="335" bestFit="1" customWidth="1"/>
    <col min="8200" max="8200" width="7.140625" style="335" customWidth="1"/>
    <col min="8201" max="8201" width="8.42578125" style="335" bestFit="1" customWidth="1"/>
    <col min="8202" max="8202" width="8.28515625" style="335" customWidth="1"/>
    <col min="8203" max="8203" width="9.7109375" style="335" bestFit="1" customWidth="1"/>
    <col min="8204" max="8204" width="8.140625" style="335" customWidth="1"/>
    <col min="8205" max="8205" width="10.140625" style="335" customWidth="1"/>
    <col min="8206" max="8448" width="9.140625" style="335"/>
    <col min="8449" max="8449" width="4.42578125" style="335" customWidth="1"/>
    <col min="8450" max="8450" width="52.42578125" style="335" customWidth="1"/>
    <col min="8451" max="8451" width="9.42578125" style="335" customWidth="1"/>
    <col min="8452" max="8454" width="7.5703125" style="335" customWidth="1"/>
    <col min="8455" max="8455" width="9.7109375" style="335" bestFit="1" customWidth="1"/>
    <col min="8456" max="8456" width="7.140625" style="335" customWidth="1"/>
    <col min="8457" max="8457" width="8.42578125" style="335" bestFit="1" customWidth="1"/>
    <col min="8458" max="8458" width="8.28515625" style="335" customWidth="1"/>
    <col min="8459" max="8459" width="9.7109375" style="335" bestFit="1" customWidth="1"/>
    <col min="8460" max="8460" width="8.140625" style="335" customWidth="1"/>
    <col min="8461" max="8461" width="10.140625" style="335" customWidth="1"/>
    <col min="8462" max="8704" width="9.140625" style="335"/>
    <col min="8705" max="8705" width="4.42578125" style="335" customWidth="1"/>
    <col min="8706" max="8706" width="52.42578125" style="335" customWidth="1"/>
    <col min="8707" max="8707" width="9.42578125" style="335" customWidth="1"/>
    <col min="8708" max="8710" width="7.5703125" style="335" customWidth="1"/>
    <col min="8711" max="8711" width="9.7109375" style="335" bestFit="1" customWidth="1"/>
    <col min="8712" max="8712" width="7.140625" style="335" customWidth="1"/>
    <col min="8713" max="8713" width="8.42578125" style="335" bestFit="1" customWidth="1"/>
    <col min="8714" max="8714" width="8.28515625" style="335" customWidth="1"/>
    <col min="8715" max="8715" width="9.7109375" style="335" bestFit="1" customWidth="1"/>
    <col min="8716" max="8716" width="8.140625" style="335" customWidth="1"/>
    <col min="8717" max="8717" width="10.140625" style="335" customWidth="1"/>
    <col min="8718" max="8960" width="9.140625" style="335"/>
    <col min="8961" max="8961" width="4.42578125" style="335" customWidth="1"/>
    <col min="8962" max="8962" width="52.42578125" style="335" customWidth="1"/>
    <col min="8963" max="8963" width="9.42578125" style="335" customWidth="1"/>
    <col min="8964" max="8966" width="7.5703125" style="335" customWidth="1"/>
    <col min="8967" max="8967" width="9.7109375" style="335" bestFit="1" customWidth="1"/>
    <col min="8968" max="8968" width="7.140625" style="335" customWidth="1"/>
    <col min="8969" max="8969" width="8.42578125" style="335" bestFit="1" customWidth="1"/>
    <col min="8970" max="8970" width="8.28515625" style="335" customWidth="1"/>
    <col min="8971" max="8971" width="9.7109375" style="335" bestFit="1" customWidth="1"/>
    <col min="8972" max="8972" width="8.140625" style="335" customWidth="1"/>
    <col min="8973" max="8973" width="10.140625" style="335" customWidth="1"/>
    <col min="8974" max="9216" width="9.140625" style="335"/>
    <col min="9217" max="9217" width="4.42578125" style="335" customWidth="1"/>
    <col min="9218" max="9218" width="52.42578125" style="335" customWidth="1"/>
    <col min="9219" max="9219" width="9.42578125" style="335" customWidth="1"/>
    <col min="9220" max="9222" width="7.5703125" style="335" customWidth="1"/>
    <col min="9223" max="9223" width="9.7109375" style="335" bestFit="1" customWidth="1"/>
    <col min="9224" max="9224" width="7.140625" style="335" customWidth="1"/>
    <col min="9225" max="9225" width="8.42578125" style="335" bestFit="1" customWidth="1"/>
    <col min="9226" max="9226" width="8.28515625" style="335" customWidth="1"/>
    <col min="9227" max="9227" width="9.7109375" style="335" bestFit="1" customWidth="1"/>
    <col min="9228" max="9228" width="8.140625" style="335" customWidth="1"/>
    <col min="9229" max="9229" width="10.140625" style="335" customWidth="1"/>
    <col min="9230" max="9472" width="9.140625" style="335"/>
    <col min="9473" max="9473" width="4.42578125" style="335" customWidth="1"/>
    <col min="9474" max="9474" width="52.42578125" style="335" customWidth="1"/>
    <col min="9475" max="9475" width="9.42578125" style="335" customWidth="1"/>
    <col min="9476" max="9478" width="7.5703125" style="335" customWidth="1"/>
    <col min="9479" max="9479" width="9.7109375" style="335" bestFit="1" customWidth="1"/>
    <col min="9480" max="9480" width="7.140625" style="335" customWidth="1"/>
    <col min="9481" max="9481" width="8.42578125" style="335" bestFit="1" customWidth="1"/>
    <col min="9482" max="9482" width="8.28515625" style="335" customWidth="1"/>
    <col min="9483" max="9483" width="9.7109375" style="335" bestFit="1" customWidth="1"/>
    <col min="9484" max="9484" width="8.140625" style="335" customWidth="1"/>
    <col min="9485" max="9485" width="10.140625" style="335" customWidth="1"/>
    <col min="9486" max="9728" width="9.140625" style="335"/>
    <col min="9729" max="9729" width="4.42578125" style="335" customWidth="1"/>
    <col min="9730" max="9730" width="52.42578125" style="335" customWidth="1"/>
    <col min="9731" max="9731" width="9.42578125" style="335" customWidth="1"/>
    <col min="9732" max="9734" width="7.5703125" style="335" customWidth="1"/>
    <col min="9735" max="9735" width="9.7109375" style="335" bestFit="1" customWidth="1"/>
    <col min="9736" max="9736" width="7.140625" style="335" customWidth="1"/>
    <col min="9737" max="9737" width="8.42578125" style="335" bestFit="1" customWidth="1"/>
    <col min="9738" max="9738" width="8.28515625" style="335" customWidth="1"/>
    <col min="9739" max="9739" width="9.7109375" style="335" bestFit="1" customWidth="1"/>
    <col min="9740" max="9740" width="8.140625" style="335" customWidth="1"/>
    <col min="9741" max="9741" width="10.140625" style="335" customWidth="1"/>
    <col min="9742" max="9984" width="9.140625" style="335"/>
    <col min="9985" max="9985" width="4.42578125" style="335" customWidth="1"/>
    <col min="9986" max="9986" width="52.42578125" style="335" customWidth="1"/>
    <col min="9987" max="9987" width="9.42578125" style="335" customWidth="1"/>
    <col min="9988" max="9990" width="7.5703125" style="335" customWidth="1"/>
    <col min="9991" max="9991" width="9.7109375" style="335" bestFit="1" customWidth="1"/>
    <col min="9992" max="9992" width="7.140625" style="335" customWidth="1"/>
    <col min="9993" max="9993" width="8.42578125" style="335" bestFit="1" customWidth="1"/>
    <col min="9994" max="9994" width="8.28515625" style="335" customWidth="1"/>
    <col min="9995" max="9995" width="9.7109375" style="335" bestFit="1" customWidth="1"/>
    <col min="9996" max="9996" width="8.140625" style="335" customWidth="1"/>
    <col min="9997" max="9997" width="10.140625" style="335" customWidth="1"/>
    <col min="9998" max="10240" width="9.140625" style="335"/>
    <col min="10241" max="10241" width="4.42578125" style="335" customWidth="1"/>
    <col min="10242" max="10242" width="52.42578125" style="335" customWidth="1"/>
    <col min="10243" max="10243" width="9.42578125" style="335" customWidth="1"/>
    <col min="10244" max="10246" width="7.5703125" style="335" customWidth="1"/>
    <col min="10247" max="10247" width="9.7109375" style="335" bestFit="1" customWidth="1"/>
    <col min="10248" max="10248" width="7.140625" style="335" customWidth="1"/>
    <col min="10249" max="10249" width="8.42578125" style="335" bestFit="1" customWidth="1"/>
    <col min="10250" max="10250" width="8.28515625" style="335" customWidth="1"/>
    <col min="10251" max="10251" width="9.7109375" style="335" bestFit="1" customWidth="1"/>
    <col min="10252" max="10252" width="8.140625" style="335" customWidth="1"/>
    <col min="10253" max="10253" width="10.140625" style="335" customWidth="1"/>
    <col min="10254" max="10496" width="9.140625" style="335"/>
    <col min="10497" max="10497" width="4.42578125" style="335" customWidth="1"/>
    <col min="10498" max="10498" width="52.42578125" style="335" customWidth="1"/>
    <col min="10499" max="10499" width="9.42578125" style="335" customWidth="1"/>
    <col min="10500" max="10502" width="7.5703125" style="335" customWidth="1"/>
    <col min="10503" max="10503" width="9.7109375" style="335" bestFit="1" customWidth="1"/>
    <col min="10504" max="10504" width="7.140625" style="335" customWidth="1"/>
    <col min="10505" max="10505" width="8.42578125" style="335" bestFit="1" customWidth="1"/>
    <col min="10506" max="10506" width="8.28515625" style="335" customWidth="1"/>
    <col min="10507" max="10507" width="9.7109375" style="335" bestFit="1" customWidth="1"/>
    <col min="10508" max="10508" width="8.140625" style="335" customWidth="1"/>
    <col min="10509" max="10509" width="10.140625" style="335" customWidth="1"/>
    <col min="10510" max="10752" width="9.140625" style="335"/>
    <col min="10753" max="10753" width="4.42578125" style="335" customWidth="1"/>
    <col min="10754" max="10754" width="52.42578125" style="335" customWidth="1"/>
    <col min="10755" max="10755" width="9.42578125" style="335" customWidth="1"/>
    <col min="10756" max="10758" width="7.5703125" style="335" customWidth="1"/>
    <col min="10759" max="10759" width="9.7109375" style="335" bestFit="1" customWidth="1"/>
    <col min="10760" max="10760" width="7.140625" style="335" customWidth="1"/>
    <col min="10761" max="10761" width="8.42578125" style="335" bestFit="1" customWidth="1"/>
    <col min="10762" max="10762" width="8.28515625" style="335" customWidth="1"/>
    <col min="10763" max="10763" width="9.7109375" style="335" bestFit="1" customWidth="1"/>
    <col min="10764" max="10764" width="8.140625" style="335" customWidth="1"/>
    <col min="10765" max="10765" width="10.140625" style="335" customWidth="1"/>
    <col min="10766" max="11008" width="9.140625" style="335"/>
    <col min="11009" max="11009" width="4.42578125" style="335" customWidth="1"/>
    <col min="11010" max="11010" width="52.42578125" style="335" customWidth="1"/>
    <col min="11011" max="11011" width="9.42578125" style="335" customWidth="1"/>
    <col min="11012" max="11014" width="7.5703125" style="335" customWidth="1"/>
    <col min="11015" max="11015" width="9.7109375" style="335" bestFit="1" customWidth="1"/>
    <col min="11016" max="11016" width="7.140625" style="335" customWidth="1"/>
    <col min="11017" max="11017" width="8.42578125" style="335" bestFit="1" customWidth="1"/>
    <col min="11018" max="11018" width="8.28515625" style="335" customWidth="1"/>
    <col min="11019" max="11019" width="9.7109375" style="335" bestFit="1" customWidth="1"/>
    <col min="11020" max="11020" width="8.140625" style="335" customWidth="1"/>
    <col min="11021" max="11021" width="10.140625" style="335" customWidth="1"/>
    <col min="11022" max="11264" width="9.140625" style="335"/>
    <col min="11265" max="11265" width="4.42578125" style="335" customWidth="1"/>
    <col min="11266" max="11266" width="52.42578125" style="335" customWidth="1"/>
    <col min="11267" max="11267" width="9.42578125" style="335" customWidth="1"/>
    <col min="11268" max="11270" width="7.5703125" style="335" customWidth="1"/>
    <col min="11271" max="11271" width="9.7109375" style="335" bestFit="1" customWidth="1"/>
    <col min="11272" max="11272" width="7.140625" style="335" customWidth="1"/>
    <col min="11273" max="11273" width="8.42578125" style="335" bestFit="1" customWidth="1"/>
    <col min="11274" max="11274" width="8.28515625" style="335" customWidth="1"/>
    <col min="11275" max="11275" width="9.7109375" style="335" bestFit="1" customWidth="1"/>
    <col min="11276" max="11276" width="8.140625" style="335" customWidth="1"/>
    <col min="11277" max="11277" width="10.140625" style="335" customWidth="1"/>
    <col min="11278" max="11520" width="9.140625" style="335"/>
    <col min="11521" max="11521" width="4.42578125" style="335" customWidth="1"/>
    <col min="11522" max="11522" width="52.42578125" style="335" customWidth="1"/>
    <col min="11523" max="11523" width="9.42578125" style="335" customWidth="1"/>
    <col min="11524" max="11526" width="7.5703125" style="335" customWidth="1"/>
    <col min="11527" max="11527" width="9.7109375" style="335" bestFit="1" customWidth="1"/>
    <col min="11528" max="11528" width="7.140625" style="335" customWidth="1"/>
    <col min="11529" max="11529" width="8.42578125" style="335" bestFit="1" customWidth="1"/>
    <col min="11530" max="11530" width="8.28515625" style="335" customWidth="1"/>
    <col min="11531" max="11531" width="9.7109375" style="335" bestFit="1" customWidth="1"/>
    <col min="11532" max="11532" width="8.140625" style="335" customWidth="1"/>
    <col min="11533" max="11533" width="10.140625" style="335" customWidth="1"/>
    <col min="11534" max="11776" width="9.140625" style="335"/>
    <col min="11777" max="11777" width="4.42578125" style="335" customWidth="1"/>
    <col min="11778" max="11778" width="52.42578125" style="335" customWidth="1"/>
    <col min="11779" max="11779" width="9.42578125" style="335" customWidth="1"/>
    <col min="11780" max="11782" width="7.5703125" style="335" customWidth="1"/>
    <col min="11783" max="11783" width="9.7109375" style="335" bestFit="1" customWidth="1"/>
    <col min="11784" max="11784" width="7.140625" style="335" customWidth="1"/>
    <col min="11785" max="11785" width="8.42578125" style="335" bestFit="1" customWidth="1"/>
    <col min="11786" max="11786" width="8.28515625" style="335" customWidth="1"/>
    <col min="11787" max="11787" width="9.7109375" style="335" bestFit="1" customWidth="1"/>
    <col min="11788" max="11788" width="8.140625" style="335" customWidth="1"/>
    <col min="11789" max="11789" width="10.140625" style="335" customWidth="1"/>
    <col min="11790" max="12032" width="9.140625" style="335"/>
    <col min="12033" max="12033" width="4.42578125" style="335" customWidth="1"/>
    <col min="12034" max="12034" width="52.42578125" style="335" customWidth="1"/>
    <col min="12035" max="12035" width="9.42578125" style="335" customWidth="1"/>
    <col min="12036" max="12038" width="7.5703125" style="335" customWidth="1"/>
    <col min="12039" max="12039" width="9.7109375" style="335" bestFit="1" customWidth="1"/>
    <col min="12040" max="12040" width="7.140625" style="335" customWidth="1"/>
    <col min="12041" max="12041" width="8.42578125" style="335" bestFit="1" customWidth="1"/>
    <col min="12042" max="12042" width="8.28515625" style="335" customWidth="1"/>
    <col min="12043" max="12043" width="9.7109375" style="335" bestFit="1" customWidth="1"/>
    <col min="12044" max="12044" width="8.140625" style="335" customWidth="1"/>
    <col min="12045" max="12045" width="10.140625" style="335" customWidth="1"/>
    <col min="12046" max="12288" width="9.140625" style="335"/>
    <col min="12289" max="12289" width="4.42578125" style="335" customWidth="1"/>
    <col min="12290" max="12290" width="52.42578125" style="335" customWidth="1"/>
    <col min="12291" max="12291" width="9.42578125" style="335" customWidth="1"/>
    <col min="12292" max="12294" width="7.5703125" style="335" customWidth="1"/>
    <col min="12295" max="12295" width="9.7109375" style="335" bestFit="1" customWidth="1"/>
    <col min="12296" max="12296" width="7.140625" style="335" customWidth="1"/>
    <col min="12297" max="12297" width="8.42578125" style="335" bestFit="1" customWidth="1"/>
    <col min="12298" max="12298" width="8.28515625" style="335" customWidth="1"/>
    <col min="12299" max="12299" width="9.7109375" style="335" bestFit="1" customWidth="1"/>
    <col min="12300" max="12300" width="8.140625" style="335" customWidth="1"/>
    <col min="12301" max="12301" width="10.140625" style="335" customWidth="1"/>
    <col min="12302" max="12544" width="9.140625" style="335"/>
    <col min="12545" max="12545" width="4.42578125" style="335" customWidth="1"/>
    <col min="12546" max="12546" width="52.42578125" style="335" customWidth="1"/>
    <col min="12547" max="12547" width="9.42578125" style="335" customWidth="1"/>
    <col min="12548" max="12550" width="7.5703125" style="335" customWidth="1"/>
    <col min="12551" max="12551" width="9.7109375" style="335" bestFit="1" customWidth="1"/>
    <col min="12552" max="12552" width="7.140625" style="335" customWidth="1"/>
    <col min="12553" max="12553" width="8.42578125" style="335" bestFit="1" customWidth="1"/>
    <col min="12554" max="12554" width="8.28515625" style="335" customWidth="1"/>
    <col min="12555" max="12555" width="9.7109375" style="335" bestFit="1" customWidth="1"/>
    <col min="12556" max="12556" width="8.140625" style="335" customWidth="1"/>
    <col min="12557" max="12557" width="10.140625" style="335" customWidth="1"/>
    <col min="12558" max="12800" width="9.140625" style="335"/>
    <col min="12801" max="12801" width="4.42578125" style="335" customWidth="1"/>
    <col min="12802" max="12802" width="52.42578125" style="335" customWidth="1"/>
    <col min="12803" max="12803" width="9.42578125" style="335" customWidth="1"/>
    <col min="12804" max="12806" width="7.5703125" style="335" customWidth="1"/>
    <col min="12807" max="12807" width="9.7109375" style="335" bestFit="1" customWidth="1"/>
    <col min="12808" max="12808" width="7.140625" style="335" customWidth="1"/>
    <col min="12809" max="12809" width="8.42578125" style="335" bestFit="1" customWidth="1"/>
    <col min="12810" max="12810" width="8.28515625" style="335" customWidth="1"/>
    <col min="12811" max="12811" width="9.7109375" style="335" bestFit="1" customWidth="1"/>
    <col min="12812" max="12812" width="8.140625" style="335" customWidth="1"/>
    <col min="12813" max="12813" width="10.140625" style="335" customWidth="1"/>
    <col min="12814" max="13056" width="9.140625" style="335"/>
    <col min="13057" max="13057" width="4.42578125" style="335" customWidth="1"/>
    <col min="13058" max="13058" width="52.42578125" style="335" customWidth="1"/>
    <col min="13059" max="13059" width="9.42578125" style="335" customWidth="1"/>
    <col min="13060" max="13062" width="7.5703125" style="335" customWidth="1"/>
    <col min="13063" max="13063" width="9.7109375" style="335" bestFit="1" customWidth="1"/>
    <col min="13064" max="13064" width="7.140625" style="335" customWidth="1"/>
    <col min="13065" max="13065" width="8.42578125" style="335" bestFit="1" customWidth="1"/>
    <col min="13066" max="13066" width="8.28515625" style="335" customWidth="1"/>
    <col min="13067" max="13067" width="9.7109375" style="335" bestFit="1" customWidth="1"/>
    <col min="13068" max="13068" width="8.140625" style="335" customWidth="1"/>
    <col min="13069" max="13069" width="10.140625" style="335" customWidth="1"/>
    <col min="13070" max="13312" width="9.140625" style="335"/>
    <col min="13313" max="13313" width="4.42578125" style="335" customWidth="1"/>
    <col min="13314" max="13314" width="52.42578125" style="335" customWidth="1"/>
    <col min="13315" max="13315" width="9.42578125" style="335" customWidth="1"/>
    <col min="13316" max="13318" width="7.5703125" style="335" customWidth="1"/>
    <col min="13319" max="13319" width="9.7109375" style="335" bestFit="1" customWidth="1"/>
    <col min="13320" max="13320" width="7.140625" style="335" customWidth="1"/>
    <col min="13321" max="13321" width="8.42578125" style="335" bestFit="1" customWidth="1"/>
    <col min="13322" max="13322" width="8.28515625" style="335" customWidth="1"/>
    <col min="13323" max="13323" width="9.7109375" style="335" bestFit="1" customWidth="1"/>
    <col min="13324" max="13324" width="8.140625" style="335" customWidth="1"/>
    <col min="13325" max="13325" width="10.140625" style="335" customWidth="1"/>
    <col min="13326" max="13568" width="9.140625" style="335"/>
    <col min="13569" max="13569" width="4.42578125" style="335" customWidth="1"/>
    <col min="13570" max="13570" width="52.42578125" style="335" customWidth="1"/>
    <col min="13571" max="13571" width="9.42578125" style="335" customWidth="1"/>
    <col min="13572" max="13574" width="7.5703125" style="335" customWidth="1"/>
    <col min="13575" max="13575" width="9.7109375" style="335" bestFit="1" customWidth="1"/>
    <col min="13576" max="13576" width="7.140625" style="335" customWidth="1"/>
    <col min="13577" max="13577" width="8.42578125" style="335" bestFit="1" customWidth="1"/>
    <col min="13578" max="13578" width="8.28515625" style="335" customWidth="1"/>
    <col min="13579" max="13579" width="9.7109375" style="335" bestFit="1" customWidth="1"/>
    <col min="13580" max="13580" width="8.140625" style="335" customWidth="1"/>
    <col min="13581" max="13581" width="10.140625" style="335" customWidth="1"/>
    <col min="13582" max="13824" width="9.140625" style="335"/>
    <col min="13825" max="13825" width="4.42578125" style="335" customWidth="1"/>
    <col min="13826" max="13826" width="52.42578125" style="335" customWidth="1"/>
    <col min="13827" max="13827" width="9.42578125" style="335" customWidth="1"/>
    <col min="13828" max="13830" width="7.5703125" style="335" customWidth="1"/>
    <col min="13831" max="13831" width="9.7109375" style="335" bestFit="1" customWidth="1"/>
    <col min="13832" max="13832" width="7.140625" style="335" customWidth="1"/>
    <col min="13833" max="13833" width="8.42578125" style="335" bestFit="1" customWidth="1"/>
    <col min="13834" max="13834" width="8.28515625" style="335" customWidth="1"/>
    <col min="13835" max="13835" width="9.7109375" style="335" bestFit="1" customWidth="1"/>
    <col min="13836" max="13836" width="8.140625" style="335" customWidth="1"/>
    <col min="13837" max="13837" width="10.140625" style="335" customWidth="1"/>
    <col min="13838" max="14080" width="9.140625" style="335"/>
    <col min="14081" max="14081" width="4.42578125" style="335" customWidth="1"/>
    <col min="14082" max="14082" width="52.42578125" style="335" customWidth="1"/>
    <col min="14083" max="14083" width="9.42578125" style="335" customWidth="1"/>
    <col min="14084" max="14086" width="7.5703125" style="335" customWidth="1"/>
    <col min="14087" max="14087" width="9.7109375" style="335" bestFit="1" customWidth="1"/>
    <col min="14088" max="14088" width="7.140625" style="335" customWidth="1"/>
    <col min="14089" max="14089" width="8.42578125" style="335" bestFit="1" customWidth="1"/>
    <col min="14090" max="14090" width="8.28515625" style="335" customWidth="1"/>
    <col min="14091" max="14091" width="9.7109375" style="335" bestFit="1" customWidth="1"/>
    <col min="14092" max="14092" width="8.140625" style="335" customWidth="1"/>
    <col min="14093" max="14093" width="10.140625" style="335" customWidth="1"/>
    <col min="14094" max="14336" width="9.140625" style="335"/>
    <col min="14337" max="14337" width="4.42578125" style="335" customWidth="1"/>
    <col min="14338" max="14338" width="52.42578125" style="335" customWidth="1"/>
    <col min="14339" max="14339" width="9.42578125" style="335" customWidth="1"/>
    <col min="14340" max="14342" width="7.5703125" style="335" customWidth="1"/>
    <col min="14343" max="14343" width="9.7109375" style="335" bestFit="1" customWidth="1"/>
    <col min="14344" max="14344" width="7.140625" style="335" customWidth="1"/>
    <col min="14345" max="14345" width="8.42578125" style="335" bestFit="1" customWidth="1"/>
    <col min="14346" max="14346" width="8.28515625" style="335" customWidth="1"/>
    <col min="14347" max="14347" width="9.7109375" style="335" bestFit="1" customWidth="1"/>
    <col min="14348" max="14348" width="8.140625" style="335" customWidth="1"/>
    <col min="14349" max="14349" width="10.140625" style="335" customWidth="1"/>
    <col min="14350" max="14592" width="9.140625" style="335"/>
    <col min="14593" max="14593" width="4.42578125" style="335" customWidth="1"/>
    <col min="14594" max="14594" width="52.42578125" style="335" customWidth="1"/>
    <col min="14595" max="14595" width="9.42578125" style="335" customWidth="1"/>
    <col min="14596" max="14598" width="7.5703125" style="335" customWidth="1"/>
    <col min="14599" max="14599" width="9.7109375" style="335" bestFit="1" customWidth="1"/>
    <col min="14600" max="14600" width="7.140625" style="335" customWidth="1"/>
    <col min="14601" max="14601" width="8.42578125" style="335" bestFit="1" customWidth="1"/>
    <col min="14602" max="14602" width="8.28515625" style="335" customWidth="1"/>
    <col min="14603" max="14603" width="9.7109375" style="335" bestFit="1" customWidth="1"/>
    <col min="14604" max="14604" width="8.140625" style="335" customWidth="1"/>
    <col min="14605" max="14605" width="10.140625" style="335" customWidth="1"/>
    <col min="14606" max="14848" width="9.140625" style="335"/>
    <col min="14849" max="14849" width="4.42578125" style="335" customWidth="1"/>
    <col min="14850" max="14850" width="52.42578125" style="335" customWidth="1"/>
    <col min="14851" max="14851" width="9.42578125" style="335" customWidth="1"/>
    <col min="14852" max="14854" width="7.5703125" style="335" customWidth="1"/>
    <col min="14855" max="14855" width="9.7109375" style="335" bestFit="1" customWidth="1"/>
    <col min="14856" max="14856" width="7.140625" style="335" customWidth="1"/>
    <col min="14857" max="14857" width="8.42578125" style="335" bestFit="1" customWidth="1"/>
    <col min="14858" max="14858" width="8.28515625" style="335" customWidth="1"/>
    <col min="14859" max="14859" width="9.7109375" style="335" bestFit="1" customWidth="1"/>
    <col min="14860" max="14860" width="8.140625" style="335" customWidth="1"/>
    <col min="14861" max="14861" width="10.140625" style="335" customWidth="1"/>
    <col min="14862" max="15104" width="9.140625" style="335"/>
    <col min="15105" max="15105" width="4.42578125" style="335" customWidth="1"/>
    <col min="15106" max="15106" width="52.42578125" style="335" customWidth="1"/>
    <col min="15107" max="15107" width="9.42578125" style="335" customWidth="1"/>
    <col min="15108" max="15110" width="7.5703125" style="335" customWidth="1"/>
    <col min="15111" max="15111" width="9.7109375" style="335" bestFit="1" customWidth="1"/>
    <col min="15112" max="15112" width="7.140625" style="335" customWidth="1"/>
    <col min="15113" max="15113" width="8.42578125" style="335" bestFit="1" customWidth="1"/>
    <col min="15114" max="15114" width="8.28515625" style="335" customWidth="1"/>
    <col min="15115" max="15115" width="9.7109375" style="335" bestFit="1" customWidth="1"/>
    <col min="15116" max="15116" width="8.140625" style="335" customWidth="1"/>
    <col min="15117" max="15117" width="10.140625" style="335" customWidth="1"/>
    <col min="15118" max="15360" width="9.140625" style="335"/>
    <col min="15361" max="15361" width="4.42578125" style="335" customWidth="1"/>
    <col min="15362" max="15362" width="52.42578125" style="335" customWidth="1"/>
    <col min="15363" max="15363" width="9.42578125" style="335" customWidth="1"/>
    <col min="15364" max="15366" width="7.5703125" style="335" customWidth="1"/>
    <col min="15367" max="15367" width="9.7109375" style="335" bestFit="1" customWidth="1"/>
    <col min="15368" max="15368" width="7.140625" style="335" customWidth="1"/>
    <col min="15369" max="15369" width="8.42578125" style="335" bestFit="1" customWidth="1"/>
    <col min="15370" max="15370" width="8.28515625" style="335" customWidth="1"/>
    <col min="15371" max="15371" width="9.7109375" style="335" bestFit="1" customWidth="1"/>
    <col min="15372" max="15372" width="8.140625" style="335" customWidth="1"/>
    <col min="15373" max="15373" width="10.140625" style="335" customWidth="1"/>
    <col min="15374" max="15616" width="9.140625" style="335"/>
    <col min="15617" max="15617" width="4.42578125" style="335" customWidth="1"/>
    <col min="15618" max="15618" width="52.42578125" style="335" customWidth="1"/>
    <col min="15619" max="15619" width="9.42578125" style="335" customWidth="1"/>
    <col min="15620" max="15622" width="7.5703125" style="335" customWidth="1"/>
    <col min="15623" max="15623" width="9.7109375" style="335" bestFit="1" customWidth="1"/>
    <col min="15624" max="15624" width="7.140625" style="335" customWidth="1"/>
    <col min="15625" max="15625" width="8.42578125" style="335" bestFit="1" customWidth="1"/>
    <col min="15626" max="15626" width="8.28515625" style="335" customWidth="1"/>
    <col min="15627" max="15627" width="9.7109375" style="335" bestFit="1" customWidth="1"/>
    <col min="15628" max="15628" width="8.140625" style="335" customWidth="1"/>
    <col min="15629" max="15629" width="10.140625" style="335" customWidth="1"/>
    <col min="15630" max="15872" width="9.140625" style="335"/>
    <col min="15873" max="15873" width="4.42578125" style="335" customWidth="1"/>
    <col min="15874" max="15874" width="52.42578125" style="335" customWidth="1"/>
    <col min="15875" max="15875" width="9.42578125" style="335" customWidth="1"/>
    <col min="15876" max="15878" width="7.5703125" style="335" customWidth="1"/>
    <col min="15879" max="15879" width="9.7109375" style="335" bestFit="1" customWidth="1"/>
    <col min="15880" max="15880" width="7.140625" style="335" customWidth="1"/>
    <col min="15881" max="15881" width="8.42578125" style="335" bestFit="1" customWidth="1"/>
    <col min="15882" max="15882" width="8.28515625" style="335" customWidth="1"/>
    <col min="15883" max="15883" width="9.7109375" style="335" bestFit="1" customWidth="1"/>
    <col min="15884" max="15884" width="8.140625" style="335" customWidth="1"/>
    <col min="15885" max="15885" width="10.140625" style="335" customWidth="1"/>
    <col min="15886" max="16128" width="9.140625" style="335"/>
    <col min="16129" max="16129" width="4.42578125" style="335" customWidth="1"/>
    <col min="16130" max="16130" width="52.42578125" style="335" customWidth="1"/>
    <col min="16131" max="16131" width="9.42578125" style="335" customWidth="1"/>
    <col min="16132" max="16134" width="7.5703125" style="335" customWidth="1"/>
    <col min="16135" max="16135" width="9.7109375" style="335" bestFit="1" customWidth="1"/>
    <col min="16136" max="16136" width="7.140625" style="335" customWidth="1"/>
    <col min="16137" max="16137" width="8.42578125" style="335" bestFit="1" customWidth="1"/>
    <col min="16138" max="16138" width="8.28515625" style="335" customWidth="1"/>
    <col min="16139" max="16139" width="9.7109375" style="335" bestFit="1" customWidth="1"/>
    <col min="16140" max="16140" width="8.140625" style="335" customWidth="1"/>
    <col min="16141" max="16141" width="10.140625" style="335" customWidth="1"/>
    <col min="16142" max="16384" width="9.140625" style="335"/>
  </cols>
  <sheetData>
    <row r="1" spans="1:13" s="473" customFormat="1" ht="62.25" customHeight="1" thickBot="1">
      <c r="A1" s="1168" t="s">
        <v>252</v>
      </c>
      <c r="B1" s="1168"/>
      <c r="C1" s="484" t="s">
        <v>212</v>
      </c>
      <c r="D1" s="477" t="s">
        <v>213</v>
      </c>
      <c r="E1" s="477" t="s">
        <v>27</v>
      </c>
      <c r="F1" s="477" t="s">
        <v>28</v>
      </c>
      <c r="G1" s="485" t="s">
        <v>214</v>
      </c>
      <c r="H1" s="477" t="s">
        <v>29</v>
      </c>
      <c r="I1" s="791" t="s">
        <v>30</v>
      </c>
      <c r="J1" s="477" t="s">
        <v>31</v>
      </c>
      <c r="K1" s="485" t="s">
        <v>215</v>
      </c>
      <c r="L1" s="484" t="s">
        <v>216</v>
      </c>
      <c r="M1" s="621" t="s">
        <v>217</v>
      </c>
    </row>
    <row r="2" spans="1:13" ht="28.5" customHeight="1" thickBot="1">
      <c r="A2" s="1158" t="s">
        <v>218</v>
      </c>
      <c r="B2" s="1158"/>
      <c r="C2" s="486">
        <v>0</v>
      </c>
      <c r="D2" s="487">
        <f t="shared" ref="D2:J2" si="0">SUM(D3:D4)</f>
        <v>733</v>
      </c>
      <c r="E2" s="487">
        <f t="shared" si="0"/>
        <v>642</v>
      </c>
      <c r="F2" s="487">
        <f t="shared" si="0"/>
        <v>802</v>
      </c>
      <c r="G2" s="488">
        <f t="shared" si="0"/>
        <v>733</v>
      </c>
      <c r="H2" s="487">
        <f t="shared" si="0"/>
        <v>527</v>
      </c>
      <c r="I2" s="487">
        <f t="shared" si="0"/>
        <v>592</v>
      </c>
      <c r="J2" s="487">
        <f t="shared" si="0"/>
        <v>586</v>
      </c>
      <c r="K2" s="489">
        <f>H2</f>
        <v>527</v>
      </c>
      <c r="L2" s="486">
        <f>SUM(L3:L4)</f>
        <v>733</v>
      </c>
      <c r="M2" s="490">
        <f>SUM(M3:M4)</f>
        <v>0</v>
      </c>
    </row>
    <row r="3" spans="1:13" ht="30" customHeight="1">
      <c r="A3" s="375"/>
      <c r="B3" s="381" t="s">
        <v>219</v>
      </c>
      <c r="C3" s="491">
        <v>0</v>
      </c>
      <c r="D3" s="492">
        <f t="shared" ref="D3:F4" si="1">C22</f>
        <v>711</v>
      </c>
      <c r="E3" s="492">
        <f t="shared" si="1"/>
        <v>631</v>
      </c>
      <c r="F3" s="492">
        <f t="shared" si="1"/>
        <v>796</v>
      </c>
      <c r="G3" s="493">
        <f>C22</f>
        <v>711</v>
      </c>
      <c r="H3" s="492">
        <f t="shared" ref="H3:J4" si="2">G22</f>
        <v>519</v>
      </c>
      <c r="I3" s="492">
        <f t="shared" si="2"/>
        <v>576</v>
      </c>
      <c r="J3" s="492">
        <f t="shared" si="2"/>
        <v>571</v>
      </c>
      <c r="K3" s="493">
        <f>G22</f>
        <v>519</v>
      </c>
      <c r="L3" s="491">
        <f>C22</f>
        <v>711</v>
      </c>
      <c r="M3" s="494">
        <f>C3</f>
        <v>0</v>
      </c>
    </row>
    <row r="4" spans="1:13" ht="33.75" customHeight="1" thickBot="1">
      <c r="A4" s="365"/>
      <c r="B4" s="715" t="s">
        <v>220</v>
      </c>
      <c r="C4" s="495">
        <v>0</v>
      </c>
      <c r="D4" s="792">
        <f t="shared" si="1"/>
        <v>22</v>
      </c>
      <c r="E4" s="792">
        <f t="shared" si="1"/>
        <v>11</v>
      </c>
      <c r="F4" s="792">
        <f t="shared" si="1"/>
        <v>6</v>
      </c>
      <c r="G4" s="793">
        <f>C23</f>
        <v>22</v>
      </c>
      <c r="H4" s="792">
        <f t="shared" si="2"/>
        <v>8</v>
      </c>
      <c r="I4" s="792">
        <f t="shared" si="2"/>
        <v>16</v>
      </c>
      <c r="J4" s="792">
        <f t="shared" si="2"/>
        <v>15</v>
      </c>
      <c r="K4" s="793">
        <f>G23</f>
        <v>8</v>
      </c>
      <c r="L4" s="495">
        <f>C23</f>
        <v>22</v>
      </c>
      <c r="M4" s="490">
        <f>C4</f>
        <v>0</v>
      </c>
    </row>
    <row r="5" spans="1:13" s="457" customFormat="1" ht="21" customHeight="1" thickBot="1">
      <c r="A5" s="622"/>
      <c r="B5" s="623"/>
      <c r="C5" s="496"/>
      <c r="D5" s="497"/>
      <c r="E5" s="497"/>
      <c r="F5" s="497"/>
      <c r="G5" s="496"/>
      <c r="H5" s="497"/>
      <c r="I5" s="497"/>
      <c r="J5" s="497"/>
      <c r="K5" s="496"/>
      <c r="L5" s="496"/>
      <c r="M5" s="498"/>
    </row>
    <row r="6" spans="1:13" ht="27.75" customHeight="1" thickBot="1">
      <c r="A6" s="1161" t="s">
        <v>221</v>
      </c>
      <c r="B6" s="1161"/>
      <c r="C6" s="499">
        <f t="shared" ref="C6:M6" si="3">SUM(C7:C8)</f>
        <v>1577</v>
      </c>
      <c r="D6" s="500">
        <f t="shared" si="3"/>
        <v>178</v>
      </c>
      <c r="E6" s="500">
        <f t="shared" si="3"/>
        <v>404</v>
      </c>
      <c r="F6" s="500">
        <f t="shared" si="3"/>
        <v>97</v>
      </c>
      <c r="G6" s="501">
        <f t="shared" si="3"/>
        <v>679</v>
      </c>
      <c r="H6" s="500">
        <f t="shared" si="3"/>
        <v>276</v>
      </c>
      <c r="I6" s="500">
        <f t="shared" si="3"/>
        <v>293</v>
      </c>
      <c r="J6" s="500">
        <f t="shared" si="3"/>
        <v>238</v>
      </c>
      <c r="K6" s="502">
        <f t="shared" si="3"/>
        <v>807</v>
      </c>
      <c r="L6" s="499">
        <f t="shared" si="3"/>
        <v>1486</v>
      </c>
      <c r="M6" s="503">
        <f t="shared" si="3"/>
        <v>3063</v>
      </c>
    </row>
    <row r="7" spans="1:13" ht="24" customHeight="1">
      <c r="A7" s="375"/>
      <c r="B7" s="381" t="s">
        <v>222</v>
      </c>
      <c r="C7" s="504">
        <v>1245</v>
      </c>
      <c r="D7" s="492">
        <v>133</v>
      </c>
      <c r="E7" s="492">
        <v>330</v>
      </c>
      <c r="F7" s="492">
        <v>65</v>
      </c>
      <c r="G7" s="505">
        <f>SUM(D7:F7)</f>
        <v>528</v>
      </c>
      <c r="H7" s="492">
        <v>234</v>
      </c>
      <c r="I7" s="492">
        <v>248</v>
      </c>
      <c r="J7" s="492">
        <v>205</v>
      </c>
      <c r="K7" s="506">
        <f>SUM(H7:J7)</f>
        <v>687</v>
      </c>
      <c r="L7" s="491">
        <f>G7+K7</f>
        <v>1215</v>
      </c>
      <c r="M7" s="507">
        <f>C7+L7</f>
        <v>2460</v>
      </c>
    </row>
    <row r="8" spans="1:13" ht="27.95" customHeight="1" thickBot="1">
      <c r="A8" s="365"/>
      <c r="B8" s="715" t="s">
        <v>223</v>
      </c>
      <c r="C8" s="508">
        <v>332</v>
      </c>
      <c r="D8" s="792">
        <v>45</v>
      </c>
      <c r="E8" s="792">
        <v>74</v>
      </c>
      <c r="F8" s="792">
        <v>32</v>
      </c>
      <c r="G8" s="505">
        <f>SUM(D8:F8)</f>
        <v>151</v>
      </c>
      <c r="H8" s="792">
        <v>42</v>
      </c>
      <c r="I8" s="792">
        <v>45</v>
      </c>
      <c r="J8" s="792">
        <v>33</v>
      </c>
      <c r="K8" s="506">
        <f>SUM(H8:J8)</f>
        <v>120</v>
      </c>
      <c r="L8" s="624">
        <f>G8+K8</f>
        <v>271</v>
      </c>
      <c r="M8" s="503">
        <f>C8+L8</f>
        <v>603</v>
      </c>
    </row>
    <row r="9" spans="1:13" ht="23.25" customHeight="1" thickBot="1">
      <c r="A9" s="462"/>
      <c r="B9" s="461"/>
      <c r="C9" s="459"/>
      <c r="D9" s="509"/>
      <c r="E9" s="509"/>
      <c r="F9" s="509"/>
      <c r="G9" s="235"/>
      <c r="H9" s="509"/>
      <c r="I9" s="509"/>
      <c r="J9" s="509"/>
      <c r="K9" s="460"/>
      <c r="L9" s="459"/>
      <c r="M9" s="510"/>
    </row>
    <row r="10" spans="1:13" ht="29.25" customHeight="1" thickBot="1">
      <c r="A10" s="1154" t="s">
        <v>224</v>
      </c>
      <c r="B10" s="1154"/>
      <c r="C10" s="511">
        <f t="shared" ref="C10:M10" si="4">SUM(C11:C14)</f>
        <v>534</v>
      </c>
      <c r="D10" s="512">
        <f t="shared" si="4"/>
        <v>213</v>
      </c>
      <c r="E10" s="512">
        <f t="shared" si="4"/>
        <v>165</v>
      </c>
      <c r="F10" s="512">
        <f t="shared" si="4"/>
        <v>342</v>
      </c>
      <c r="G10" s="513">
        <f t="shared" si="4"/>
        <v>720</v>
      </c>
      <c r="H10" s="512">
        <f t="shared" si="4"/>
        <v>177</v>
      </c>
      <c r="I10" s="512">
        <f t="shared" si="4"/>
        <v>253</v>
      </c>
      <c r="J10" s="512">
        <f t="shared" si="4"/>
        <v>150</v>
      </c>
      <c r="K10" s="514">
        <f t="shared" si="4"/>
        <v>580</v>
      </c>
      <c r="L10" s="511">
        <f t="shared" si="4"/>
        <v>1300</v>
      </c>
      <c r="M10" s="515">
        <f t="shared" si="4"/>
        <v>1834</v>
      </c>
    </row>
    <row r="11" spans="1:13" ht="36.75" customHeight="1">
      <c r="A11" s="386"/>
      <c r="B11" s="240" t="s">
        <v>225</v>
      </c>
      <c r="C11" s="504">
        <f>6+14</f>
        <v>20</v>
      </c>
      <c r="D11" s="492">
        <f>6+8</f>
        <v>14</v>
      </c>
      <c r="E11" s="492">
        <v>4</v>
      </c>
      <c r="F11" s="492">
        <v>1</v>
      </c>
      <c r="G11" s="516">
        <f>SUM(D11:F11)</f>
        <v>19</v>
      </c>
      <c r="H11" s="492">
        <v>18</v>
      </c>
      <c r="I11" s="492">
        <v>21</v>
      </c>
      <c r="J11" s="492">
        <v>26</v>
      </c>
      <c r="K11" s="517">
        <f>SUM(H11:J11)</f>
        <v>65</v>
      </c>
      <c r="L11" s="625">
        <f>G11+K11</f>
        <v>84</v>
      </c>
      <c r="M11" s="518">
        <f>C11+L11</f>
        <v>104</v>
      </c>
    </row>
    <row r="12" spans="1:13" ht="27.95" customHeight="1">
      <c r="A12" s="386"/>
      <c r="B12" s="240" t="s">
        <v>226</v>
      </c>
      <c r="C12" s="508">
        <v>324</v>
      </c>
      <c r="D12" s="492">
        <v>64</v>
      </c>
      <c r="E12" s="492">
        <v>69</v>
      </c>
      <c r="F12" s="519">
        <v>164</v>
      </c>
      <c r="G12" s="520">
        <f>SUM(D12:F12)</f>
        <v>297</v>
      </c>
      <c r="H12" s="521">
        <v>77</v>
      </c>
      <c r="I12" s="492">
        <v>149</v>
      </c>
      <c r="J12" s="492">
        <v>120</v>
      </c>
      <c r="K12" s="517">
        <f>SUM(H12:J12)</f>
        <v>346</v>
      </c>
      <c r="L12" s="794">
        <f>G12+K12</f>
        <v>643</v>
      </c>
      <c r="M12" s="795">
        <f>C12+L12</f>
        <v>967</v>
      </c>
    </row>
    <row r="13" spans="1:13" ht="27.95" customHeight="1">
      <c r="A13" s="386"/>
      <c r="B13" s="626" t="s">
        <v>253</v>
      </c>
      <c r="C13" s="522">
        <v>2</v>
      </c>
      <c r="D13" s="523">
        <v>1</v>
      </c>
      <c r="E13" s="524">
        <v>0</v>
      </c>
      <c r="F13" s="525">
        <v>0</v>
      </c>
      <c r="G13" s="520">
        <f>SUM(D13:F13)</f>
        <v>1</v>
      </c>
      <c r="H13" s="523">
        <v>1</v>
      </c>
      <c r="I13" s="524">
        <v>0</v>
      </c>
      <c r="J13" s="525">
        <v>0</v>
      </c>
      <c r="K13" s="517">
        <f>SUM(H13:J13)</f>
        <v>1</v>
      </c>
      <c r="L13" s="794">
        <f>G13+K13</f>
        <v>2</v>
      </c>
      <c r="M13" s="795">
        <f>C13+L13</f>
        <v>4</v>
      </c>
    </row>
    <row r="14" spans="1:13" ht="55.5" customHeight="1" thickBot="1">
      <c r="A14" s="386"/>
      <c r="B14" s="743" t="s">
        <v>228</v>
      </c>
      <c r="C14" s="508">
        <v>188</v>
      </c>
      <c r="D14" s="792">
        <v>134</v>
      </c>
      <c r="E14" s="792">
        <v>92</v>
      </c>
      <c r="F14" s="792">
        <v>177</v>
      </c>
      <c r="G14" s="627">
        <f>SUM(D14:F14)</f>
        <v>403</v>
      </c>
      <c r="H14" s="792">
        <v>81</v>
      </c>
      <c r="I14" s="792">
        <v>83</v>
      </c>
      <c r="J14" s="792">
        <v>4</v>
      </c>
      <c r="K14" s="517">
        <f>SUM(H14:J14)</f>
        <v>168</v>
      </c>
      <c r="L14" s="796">
        <f>G14+K14</f>
        <v>571</v>
      </c>
      <c r="M14" s="797">
        <f>C14+L14</f>
        <v>759</v>
      </c>
    </row>
    <row r="15" spans="1:13" s="394" customFormat="1" ht="22.5" customHeight="1" thickBot="1">
      <c r="A15" s="526"/>
      <c r="B15" s="527"/>
      <c r="C15" s="528"/>
      <c r="D15" s="529"/>
      <c r="E15" s="529"/>
      <c r="F15" s="529"/>
      <c r="G15" s="251"/>
      <c r="H15" s="529"/>
      <c r="I15" s="529"/>
      <c r="J15" s="529"/>
      <c r="K15" s="530"/>
      <c r="L15" s="528"/>
      <c r="M15" s="531"/>
    </row>
    <row r="16" spans="1:13" ht="27.75" customHeight="1" thickBot="1">
      <c r="A16" s="1158" t="s">
        <v>233</v>
      </c>
      <c r="B16" s="1158"/>
      <c r="C16" s="499">
        <f t="shared" ref="C16:M16" si="5">SUM(C17:C19)</f>
        <v>310</v>
      </c>
      <c r="D16" s="500">
        <f t="shared" si="5"/>
        <v>56</v>
      </c>
      <c r="E16" s="500">
        <f t="shared" si="5"/>
        <v>79</v>
      </c>
      <c r="F16" s="532">
        <f t="shared" si="5"/>
        <v>30</v>
      </c>
      <c r="G16" s="533">
        <f t="shared" si="5"/>
        <v>165</v>
      </c>
      <c r="H16" s="500">
        <f t="shared" si="5"/>
        <v>34</v>
      </c>
      <c r="I16" s="500">
        <f t="shared" si="5"/>
        <v>46</v>
      </c>
      <c r="J16" s="500">
        <f t="shared" si="5"/>
        <v>38</v>
      </c>
      <c r="K16" s="534">
        <f t="shared" si="5"/>
        <v>118</v>
      </c>
      <c r="L16" s="499">
        <f t="shared" si="5"/>
        <v>283</v>
      </c>
      <c r="M16" s="503">
        <f t="shared" si="5"/>
        <v>593</v>
      </c>
    </row>
    <row r="17" spans="1:13" ht="36" customHeight="1">
      <c r="A17" s="386"/>
      <c r="B17" s="740" t="s">
        <v>234</v>
      </c>
      <c r="C17" s="504">
        <v>0</v>
      </c>
      <c r="D17" s="798">
        <f>124-124</f>
        <v>0</v>
      </c>
      <c r="E17" s="798">
        <v>0</v>
      </c>
      <c r="F17" s="798">
        <v>0</v>
      </c>
      <c r="G17" s="535">
        <f>SUM(D17:F17)</f>
        <v>0</v>
      </c>
      <c r="H17" s="798">
        <v>0</v>
      </c>
      <c r="I17" s="798">
        <v>6</v>
      </c>
      <c r="J17" s="798">
        <v>0</v>
      </c>
      <c r="K17" s="517">
        <f>SUM(H17:J17)</f>
        <v>6</v>
      </c>
      <c r="L17" s="625">
        <f>G17+K17</f>
        <v>6</v>
      </c>
      <c r="M17" s="518">
        <f>C17+L17</f>
        <v>6</v>
      </c>
    </row>
    <row r="18" spans="1:13" ht="35.25" customHeight="1">
      <c r="A18" s="386"/>
      <c r="B18" s="389" t="s">
        <v>235</v>
      </c>
      <c r="C18" s="504">
        <v>115</v>
      </c>
      <c r="D18" s="524">
        <v>33</v>
      </c>
      <c r="E18" s="524">
        <v>15</v>
      </c>
      <c r="F18" s="524">
        <v>24</v>
      </c>
      <c r="G18" s="535">
        <f>SUM(D18:F18)</f>
        <v>72</v>
      </c>
      <c r="H18" s="524">
        <v>27</v>
      </c>
      <c r="I18" s="524">
        <v>34</v>
      </c>
      <c r="J18" s="524">
        <v>36</v>
      </c>
      <c r="K18" s="517">
        <f>SUM(H18:J18)</f>
        <v>97</v>
      </c>
      <c r="L18" s="794">
        <f>G18+K18</f>
        <v>169</v>
      </c>
      <c r="M18" s="795">
        <f>C18+L18</f>
        <v>284</v>
      </c>
    </row>
    <row r="19" spans="1:13" ht="45" customHeight="1" thickBot="1">
      <c r="A19" s="386"/>
      <c r="B19" s="743" t="s">
        <v>236</v>
      </c>
      <c r="C19" s="508">
        <v>195</v>
      </c>
      <c r="D19" s="792">
        <f>45-11+22-33</f>
        <v>23</v>
      </c>
      <c r="E19" s="792">
        <f>74-7+11-15+1</f>
        <v>64</v>
      </c>
      <c r="F19" s="792">
        <v>6</v>
      </c>
      <c r="G19" s="535">
        <f>SUM(D19:F19)</f>
        <v>93</v>
      </c>
      <c r="H19" s="792">
        <v>7</v>
      </c>
      <c r="I19" s="799">
        <v>6</v>
      </c>
      <c r="J19" s="792">
        <v>2</v>
      </c>
      <c r="K19" s="517">
        <f>SUM(H19:J19)</f>
        <v>15</v>
      </c>
      <c r="L19" s="800">
        <f>G19+K19</f>
        <v>108</v>
      </c>
      <c r="M19" s="801">
        <f>C19+L19</f>
        <v>303</v>
      </c>
    </row>
    <row r="20" spans="1:13" ht="20.25" customHeight="1" thickBot="1">
      <c r="A20" s="590"/>
      <c r="B20" s="591"/>
      <c r="C20" s="536"/>
      <c r="D20" s="509"/>
      <c r="E20" s="509"/>
      <c r="F20" s="509"/>
      <c r="G20" s="257"/>
      <c r="H20" s="509"/>
      <c r="I20" s="509"/>
      <c r="J20" s="509"/>
      <c r="K20" s="537"/>
      <c r="L20" s="459"/>
      <c r="M20" s="510"/>
    </row>
    <row r="21" spans="1:13" ht="27.95" customHeight="1" thickBot="1">
      <c r="A21" s="1154" t="s">
        <v>239</v>
      </c>
      <c r="B21" s="1154"/>
      <c r="C21" s="538">
        <f>SUM(C22:C23)</f>
        <v>733</v>
      </c>
      <c r="D21" s="487">
        <f t="shared" ref="D21:M21" si="6">SUM(D22:D23)</f>
        <v>642</v>
      </c>
      <c r="E21" s="487">
        <f t="shared" si="6"/>
        <v>802</v>
      </c>
      <c r="F21" s="487">
        <f t="shared" si="6"/>
        <v>527</v>
      </c>
      <c r="G21" s="488">
        <f t="shared" si="6"/>
        <v>527</v>
      </c>
      <c r="H21" s="487">
        <f t="shared" si="6"/>
        <v>592</v>
      </c>
      <c r="I21" s="487">
        <f t="shared" si="6"/>
        <v>586</v>
      </c>
      <c r="J21" s="487">
        <f>SUM(J22:J23)</f>
        <v>636</v>
      </c>
      <c r="K21" s="489">
        <f t="shared" si="6"/>
        <v>636</v>
      </c>
      <c r="L21" s="538">
        <f t="shared" si="6"/>
        <v>636</v>
      </c>
      <c r="M21" s="628">
        <f t="shared" si="6"/>
        <v>636</v>
      </c>
    </row>
    <row r="22" spans="1:13" ht="31.5" customHeight="1">
      <c r="A22" s="375"/>
      <c r="B22" s="381" t="s">
        <v>219</v>
      </c>
      <c r="C22" s="504">
        <f>(C3+C7)-C10</f>
        <v>711</v>
      </c>
      <c r="D22" s="492">
        <f t="shared" ref="D22:M22" si="7">D3+D7-D10</f>
        <v>631</v>
      </c>
      <c r="E22" s="492">
        <f t="shared" si="7"/>
        <v>796</v>
      </c>
      <c r="F22" s="492">
        <f t="shared" si="7"/>
        <v>519</v>
      </c>
      <c r="G22" s="505">
        <f t="shared" si="7"/>
        <v>519</v>
      </c>
      <c r="H22" s="492">
        <f t="shared" si="7"/>
        <v>576</v>
      </c>
      <c r="I22" s="492">
        <f t="shared" si="7"/>
        <v>571</v>
      </c>
      <c r="J22" s="492">
        <f t="shared" si="7"/>
        <v>626</v>
      </c>
      <c r="K22" s="506">
        <f t="shared" si="7"/>
        <v>626</v>
      </c>
      <c r="L22" s="504">
        <f t="shared" si="7"/>
        <v>626</v>
      </c>
      <c r="M22" s="539">
        <f t="shared" si="7"/>
        <v>626</v>
      </c>
    </row>
    <row r="23" spans="1:13" ht="33" customHeight="1" thickBot="1">
      <c r="A23" s="365"/>
      <c r="B23" s="715" t="s">
        <v>220</v>
      </c>
      <c r="C23" s="508">
        <f>(C4+C8)-C16</f>
        <v>22</v>
      </c>
      <c r="D23" s="792">
        <f t="shared" ref="D23:M23" si="8">D4+D8-D16</f>
        <v>11</v>
      </c>
      <c r="E23" s="792">
        <f t="shared" si="8"/>
        <v>6</v>
      </c>
      <c r="F23" s="792">
        <f t="shared" si="8"/>
        <v>8</v>
      </c>
      <c r="G23" s="802">
        <f t="shared" si="8"/>
        <v>8</v>
      </c>
      <c r="H23" s="792">
        <f t="shared" si="8"/>
        <v>16</v>
      </c>
      <c r="I23" s="792">
        <f t="shared" si="8"/>
        <v>15</v>
      </c>
      <c r="J23" s="792">
        <f t="shared" si="8"/>
        <v>10</v>
      </c>
      <c r="K23" s="803">
        <f t="shared" si="8"/>
        <v>10</v>
      </c>
      <c r="L23" s="508">
        <f t="shared" si="8"/>
        <v>10</v>
      </c>
      <c r="M23" s="804">
        <f t="shared" si="8"/>
        <v>10</v>
      </c>
    </row>
    <row r="24" spans="1:13" s="457" customFormat="1" ht="18.75" customHeight="1" thickBot="1">
      <c r="A24" s="462"/>
      <c r="B24" s="461"/>
      <c r="C24" s="459"/>
      <c r="D24" s="509"/>
      <c r="E24" s="509"/>
      <c r="F24" s="509"/>
      <c r="G24" s="235"/>
      <c r="H24" s="509"/>
      <c r="I24" s="509"/>
      <c r="J24" s="509"/>
      <c r="K24" s="460"/>
      <c r="L24" s="459"/>
      <c r="M24" s="510"/>
    </row>
    <row r="25" spans="1:13" s="366" customFormat="1" ht="64.5" customHeight="1">
      <c r="A25" s="375"/>
      <c r="B25" s="374" t="s">
        <v>240</v>
      </c>
      <c r="C25" s="540">
        <f t="shared" ref="C25:H25" si="9">(C11+C12+C13)/C10</f>
        <v>0.64794007490636707</v>
      </c>
      <c r="D25" s="370">
        <f t="shared" si="9"/>
        <v>0.37089201877934275</v>
      </c>
      <c r="E25" s="370">
        <f t="shared" si="9"/>
        <v>0.44242424242424244</v>
      </c>
      <c r="F25" s="370">
        <f t="shared" si="9"/>
        <v>0.48245614035087719</v>
      </c>
      <c r="G25" s="541">
        <f t="shared" si="9"/>
        <v>0.44027777777777777</v>
      </c>
      <c r="H25" s="370">
        <f t="shared" si="9"/>
        <v>0.5423728813559322</v>
      </c>
      <c r="I25" s="370">
        <f>(I11+I12+I13)/I10</f>
        <v>0.67193675889328064</v>
      </c>
      <c r="J25" s="370">
        <f>(J11+J12+J13)/J10</f>
        <v>0.97333333333333338</v>
      </c>
      <c r="K25" s="542">
        <f>(K11+K12+K13)/K10</f>
        <v>0.71034482758620687</v>
      </c>
      <c r="L25" s="629">
        <f>(L11+L12+L13)/L10</f>
        <v>0.5607692307692308</v>
      </c>
      <c r="M25" s="543">
        <f>(M11+M12+M13)/M10</f>
        <v>0.5861504907306434</v>
      </c>
    </row>
    <row r="26" spans="1:13" ht="64.5" customHeight="1">
      <c r="A26" s="365"/>
      <c r="B26" s="750" t="s">
        <v>254</v>
      </c>
      <c r="C26" s="805">
        <f t="shared" ref="C26:H26" si="10">(C11+C13)/(C11+C12+C13)</f>
        <v>6.358381502890173E-2</v>
      </c>
      <c r="D26" s="806">
        <f t="shared" si="10"/>
        <v>0.189873417721519</v>
      </c>
      <c r="E26" s="806">
        <f t="shared" si="10"/>
        <v>5.4794520547945202E-2</v>
      </c>
      <c r="F26" s="806">
        <f t="shared" si="10"/>
        <v>6.0606060606060606E-3</v>
      </c>
      <c r="G26" s="807">
        <f t="shared" si="10"/>
        <v>6.3091482649842268E-2</v>
      </c>
      <c r="H26" s="806">
        <f t="shared" si="10"/>
        <v>0.19791666666666666</v>
      </c>
      <c r="I26" s="806">
        <f>(I11+I13)/(I11+I12+I13)</f>
        <v>0.12352941176470589</v>
      </c>
      <c r="J26" s="806">
        <f>(J11+J13)/(J11+J12+J13)</f>
        <v>0.17808219178082191</v>
      </c>
      <c r="K26" s="808">
        <f>(K11+K13)/(K11+K12+K13)</f>
        <v>0.16019417475728157</v>
      </c>
      <c r="L26" s="809">
        <f>(L11+L13)/(L11+L12+L13)</f>
        <v>0.11796982167352538</v>
      </c>
      <c r="M26" s="810">
        <f>M11/(M11+M12)</f>
        <v>9.7105508870214755E-2</v>
      </c>
    </row>
    <row r="27" spans="1:13" ht="64.5" customHeight="1">
      <c r="A27" s="365"/>
      <c r="B27" s="757" t="s">
        <v>242</v>
      </c>
      <c r="C27" s="811">
        <f t="shared" ref="C27:H27" si="11">(C11+C13)/C10</f>
        <v>4.1198501872659173E-2</v>
      </c>
      <c r="D27" s="812">
        <f t="shared" si="11"/>
        <v>7.0422535211267609E-2</v>
      </c>
      <c r="E27" s="812">
        <f t="shared" si="11"/>
        <v>2.4242424242424242E-2</v>
      </c>
      <c r="F27" s="812">
        <f t="shared" si="11"/>
        <v>2.9239766081871343E-3</v>
      </c>
      <c r="G27" s="813">
        <f t="shared" si="11"/>
        <v>2.7777777777777776E-2</v>
      </c>
      <c r="H27" s="812">
        <f t="shared" si="11"/>
        <v>0.10734463276836158</v>
      </c>
      <c r="I27" s="812">
        <f>(I11+I13)/I10</f>
        <v>8.3003952569169967E-2</v>
      </c>
      <c r="J27" s="812">
        <f>(J11+J13)/J10</f>
        <v>0.17333333333333334</v>
      </c>
      <c r="K27" s="814">
        <f>(K11+K13)/K10</f>
        <v>0.11379310344827587</v>
      </c>
      <c r="L27" s="815">
        <f>(L11+L13)/L10</f>
        <v>6.615384615384616E-2</v>
      </c>
      <c r="M27" s="816">
        <f>(M11+M13)/M10</f>
        <v>5.8887677208287893E-2</v>
      </c>
    </row>
    <row r="28" spans="1:13" ht="60" customHeight="1" thickBot="1">
      <c r="A28" s="364"/>
      <c r="B28" s="764" t="s">
        <v>255</v>
      </c>
      <c r="C28" s="817">
        <f t="shared" ref="C28:H28" si="12">C17/(C17+C18)</f>
        <v>0</v>
      </c>
      <c r="D28" s="818">
        <f t="shared" si="12"/>
        <v>0</v>
      </c>
      <c r="E28" s="818">
        <f t="shared" si="12"/>
        <v>0</v>
      </c>
      <c r="F28" s="818">
        <f t="shared" si="12"/>
        <v>0</v>
      </c>
      <c r="G28" s="819">
        <f t="shared" si="12"/>
        <v>0</v>
      </c>
      <c r="H28" s="818">
        <f t="shared" si="12"/>
        <v>0</v>
      </c>
      <c r="I28" s="818">
        <f>I17/(I17+I18)</f>
        <v>0.15</v>
      </c>
      <c r="J28" s="818">
        <f>J17/(J17+J18)</f>
        <v>0</v>
      </c>
      <c r="K28" s="820">
        <f>K17/(K17+K18)</f>
        <v>5.8252427184466021E-2</v>
      </c>
      <c r="L28" s="821">
        <f>L17/(L17+L18)</f>
        <v>3.4285714285714287E-2</v>
      </c>
      <c r="M28" s="822">
        <f>M17/(M17+M18)</f>
        <v>2.0689655172413793E-2</v>
      </c>
    </row>
    <row r="29" spans="1:13" s="547" customFormat="1" ht="21.75" customHeight="1" thickBot="1">
      <c r="A29" s="599"/>
      <c r="B29" s="600"/>
      <c r="C29" s="544"/>
      <c r="D29" s="545"/>
      <c r="E29" s="545"/>
      <c r="F29" s="545"/>
      <c r="G29" s="546"/>
      <c r="H29" s="545"/>
      <c r="I29" s="545"/>
      <c r="J29" s="545"/>
      <c r="K29" s="546"/>
      <c r="L29" s="546"/>
      <c r="M29" s="546"/>
    </row>
    <row r="30" spans="1:13" s="551" customFormat="1" ht="42" customHeight="1" thickTop="1">
      <c r="A30" s="1165" t="s">
        <v>256</v>
      </c>
      <c r="B30" s="1166"/>
      <c r="C30" s="548"/>
      <c r="D30" s="549"/>
      <c r="E30" s="549"/>
      <c r="F30" s="549"/>
      <c r="G30" s="548"/>
      <c r="H30" s="549"/>
      <c r="I30" s="549"/>
      <c r="J30" s="549"/>
      <c r="K30" s="548"/>
      <c r="L30" s="548"/>
      <c r="M30" s="550"/>
    </row>
    <row r="31" spans="1:13" ht="40.5" customHeight="1">
      <c r="A31" s="351"/>
      <c r="B31" s="359" t="s">
        <v>257</v>
      </c>
      <c r="C31" s="823">
        <v>144</v>
      </c>
      <c r="D31" s="824">
        <v>79</v>
      </c>
      <c r="E31" s="824">
        <v>88</v>
      </c>
      <c r="F31" s="824">
        <v>136</v>
      </c>
      <c r="G31" s="825">
        <f>SUM(D31:F31)</f>
        <v>303</v>
      </c>
      <c r="H31" s="824">
        <v>99</v>
      </c>
      <c r="I31" s="824">
        <v>112</v>
      </c>
      <c r="J31" s="824">
        <v>131</v>
      </c>
      <c r="K31" s="826">
        <f>SUM(H31:J31)</f>
        <v>342</v>
      </c>
      <c r="L31" s="827">
        <f>G31+K31</f>
        <v>645</v>
      </c>
      <c r="M31" s="828">
        <f>C31+L31</f>
        <v>789</v>
      </c>
    </row>
    <row r="32" spans="1:13" s="344" customFormat="1" ht="35.25" customHeight="1">
      <c r="A32" s="351"/>
      <c r="B32" s="350" t="s">
        <v>246</v>
      </c>
      <c r="C32" s="552">
        <v>121</v>
      </c>
      <c r="D32" s="553">
        <v>79</v>
      </c>
      <c r="E32" s="553">
        <v>94</v>
      </c>
      <c r="F32" s="553">
        <v>118</v>
      </c>
      <c r="G32" s="554">
        <f>SUM(D32:F32)</f>
        <v>291</v>
      </c>
      <c r="H32" s="553">
        <v>118</v>
      </c>
      <c r="I32" s="553">
        <v>106</v>
      </c>
      <c r="J32" s="553">
        <v>115</v>
      </c>
      <c r="K32" s="555">
        <f>SUM(H32:J32)</f>
        <v>339</v>
      </c>
      <c r="L32" s="556">
        <f>G32+K32</f>
        <v>630</v>
      </c>
      <c r="M32" s="557">
        <f>C32+L32</f>
        <v>751</v>
      </c>
    </row>
    <row r="33" spans="1:13" s="366" customFormat="1" ht="61.5" customHeight="1" thickBot="1">
      <c r="A33" s="609"/>
      <c r="B33" s="780" t="s">
        <v>258</v>
      </c>
      <c r="C33" s="829">
        <f>C31/C10</f>
        <v>0.2696629213483146</v>
      </c>
      <c r="D33" s="830">
        <f>(C31+D31)/(C10+D10)</f>
        <v>0.29852744310575635</v>
      </c>
      <c r="E33" s="830">
        <f>(C31+D31+E31)/(C10+D10+E10)</f>
        <v>0.34100877192982454</v>
      </c>
      <c r="F33" s="830">
        <f>(C31+D31+E31+F31)/(C10+D10+E10+F10)</f>
        <v>0.35645933014354064</v>
      </c>
      <c r="G33" s="831">
        <f>(C31+G31)/(C10+G10)</f>
        <v>0.35645933014354064</v>
      </c>
      <c r="H33" s="830">
        <f>(C31+G31+H31)/(C10+G10+H10)</f>
        <v>0.38155136268343814</v>
      </c>
      <c r="I33" s="830">
        <f>(C31+G31+H31+I31)/(C10+G10+H10+I10)</f>
        <v>0.39073634204275537</v>
      </c>
      <c r="J33" s="830">
        <f>(C31+G31+H31+I31+J31)/(C10+G10+H10+I10+J10)</f>
        <v>0.43020719738276991</v>
      </c>
      <c r="K33" s="831">
        <f>(C31+G31+K31)/(C10+G10+K10)</f>
        <v>0.43020719738276991</v>
      </c>
      <c r="L33" s="832">
        <f>(C31+L31)/(C10+L10)</f>
        <v>0.43020719738276991</v>
      </c>
      <c r="M33" s="833">
        <f>M31/M10</f>
        <v>0.43020719738276991</v>
      </c>
    </row>
    <row r="34" spans="1:13" s="341" customFormat="1" ht="15.75" thickTop="1">
      <c r="A34" s="630"/>
      <c r="B34" s="631"/>
      <c r="C34" s="558"/>
      <c r="D34" s="559"/>
      <c r="E34" s="632"/>
      <c r="F34" s="559"/>
      <c r="G34" s="558"/>
      <c r="H34" s="559"/>
      <c r="I34" s="559"/>
      <c r="J34" s="559"/>
      <c r="K34" s="560"/>
      <c r="L34" s="560"/>
      <c r="M34" s="560"/>
    </row>
    <row r="35" spans="1:13" s="561" customFormat="1" ht="32.25" customHeight="1">
      <c r="A35" s="1167" t="s">
        <v>259</v>
      </c>
      <c r="B35" s="1167"/>
      <c r="C35" s="558"/>
      <c r="D35" s="559"/>
      <c r="E35" s="632"/>
      <c r="F35" s="559"/>
      <c r="G35" s="558"/>
      <c r="H35" s="559"/>
      <c r="I35" s="559"/>
      <c r="J35" s="559"/>
      <c r="K35" s="560"/>
      <c r="L35" s="560"/>
      <c r="M35" s="560"/>
    </row>
    <row r="36" spans="1:13" s="561" customFormat="1" ht="41.25" customHeight="1">
      <c r="A36" s="1157" t="s">
        <v>260</v>
      </c>
      <c r="B36" s="1157"/>
      <c r="C36" s="558"/>
      <c r="D36" s="559"/>
      <c r="E36" s="559"/>
      <c r="F36" s="559"/>
      <c r="G36" s="558"/>
      <c r="H36" s="559"/>
      <c r="I36" s="559"/>
      <c r="J36" s="559"/>
      <c r="K36" s="560"/>
      <c r="L36" s="560"/>
      <c r="M36" s="560"/>
    </row>
    <row r="37" spans="1:13" ht="54" customHeight="1">
      <c r="A37" s="1152" t="s">
        <v>251</v>
      </c>
      <c r="B37" s="1152"/>
    </row>
    <row r="38" spans="1:13" ht="49.5" customHeight="1">
      <c r="A38" s="1152"/>
      <c r="B38" s="1152"/>
    </row>
    <row r="39" spans="1:13" s="338" customFormat="1">
      <c r="C39" s="558"/>
      <c r="D39" s="559"/>
      <c r="E39" s="559"/>
      <c r="F39" s="559"/>
      <c r="G39" s="558"/>
      <c r="H39" s="559"/>
      <c r="I39" s="559"/>
      <c r="J39" s="559"/>
      <c r="K39" s="560"/>
      <c r="L39" s="560"/>
      <c r="M39" s="560"/>
    </row>
    <row r="40" spans="1:13" s="338" customFormat="1">
      <c r="C40" s="558"/>
      <c r="D40" s="559"/>
      <c r="E40" s="559"/>
      <c r="F40" s="559"/>
      <c r="G40" s="558"/>
      <c r="H40" s="559"/>
      <c r="I40" s="559"/>
      <c r="J40" s="559"/>
      <c r="K40" s="560"/>
      <c r="L40" s="560"/>
      <c r="M40" s="560"/>
    </row>
    <row r="41" spans="1:13" s="338" customFormat="1">
      <c r="C41" s="558"/>
      <c r="D41" s="559"/>
      <c r="E41" s="559"/>
      <c r="F41" s="559"/>
      <c r="G41" s="558"/>
      <c r="H41" s="559"/>
      <c r="I41" s="559"/>
      <c r="J41" s="559"/>
      <c r="K41" s="560"/>
      <c r="L41" s="560"/>
      <c r="M41" s="560"/>
    </row>
    <row r="42" spans="1:13" s="338" customFormat="1">
      <c r="C42" s="558"/>
      <c r="D42" s="559"/>
      <c r="E42" s="559"/>
      <c r="F42" s="559"/>
      <c r="G42" s="558"/>
      <c r="H42" s="559"/>
      <c r="I42" s="559"/>
      <c r="J42" s="559"/>
      <c r="K42" s="560"/>
      <c r="L42" s="560"/>
      <c r="M42" s="560"/>
    </row>
    <row r="43" spans="1:13" s="338" customFormat="1">
      <c r="C43" s="558"/>
      <c r="D43" s="559"/>
      <c r="E43" s="559"/>
      <c r="F43" s="559"/>
      <c r="G43" s="558"/>
      <c r="H43" s="559"/>
      <c r="I43" s="559"/>
      <c r="J43" s="559"/>
      <c r="K43" s="560"/>
      <c r="L43" s="560"/>
      <c r="M43" s="560"/>
    </row>
    <row r="44" spans="1:13" s="338" customFormat="1">
      <c r="C44" s="558"/>
      <c r="D44" s="559"/>
      <c r="E44" s="559"/>
      <c r="F44" s="559"/>
      <c r="G44" s="558"/>
      <c r="H44" s="559"/>
      <c r="I44" s="559"/>
      <c r="J44" s="559"/>
      <c r="K44" s="560"/>
      <c r="L44" s="560"/>
      <c r="M44" s="560"/>
    </row>
    <row r="45" spans="1:13" s="338" customFormat="1">
      <c r="C45" s="558"/>
      <c r="D45" s="559"/>
      <c r="E45" s="559"/>
      <c r="F45" s="559"/>
      <c r="G45" s="558"/>
      <c r="H45" s="559"/>
      <c r="I45" s="559"/>
      <c r="J45" s="559"/>
      <c r="K45" s="560"/>
      <c r="L45" s="560"/>
      <c r="M45" s="560"/>
    </row>
    <row r="46" spans="1:13" s="338" customFormat="1">
      <c r="C46" s="558"/>
      <c r="D46" s="559"/>
      <c r="E46" s="559"/>
      <c r="F46" s="559"/>
      <c r="G46" s="558"/>
      <c r="H46" s="559"/>
      <c r="I46" s="559"/>
      <c r="J46" s="559"/>
      <c r="K46" s="560"/>
      <c r="L46" s="560"/>
      <c r="M46" s="560"/>
    </row>
    <row r="47" spans="1:13" s="338" customFormat="1">
      <c r="C47" s="558"/>
      <c r="D47" s="559"/>
      <c r="E47" s="559"/>
      <c r="F47" s="559"/>
      <c r="G47" s="558"/>
      <c r="H47" s="559"/>
      <c r="I47" s="559"/>
      <c r="J47" s="559"/>
      <c r="K47" s="560"/>
      <c r="L47" s="560"/>
      <c r="M47" s="560"/>
    </row>
    <row r="48" spans="1:13" s="338" customFormat="1">
      <c r="C48" s="558"/>
      <c r="D48" s="559"/>
      <c r="E48" s="559"/>
      <c r="F48" s="559"/>
      <c r="G48" s="558"/>
      <c r="H48" s="559"/>
      <c r="I48" s="559"/>
      <c r="J48" s="559"/>
      <c r="K48" s="560"/>
      <c r="L48" s="560"/>
      <c r="M48" s="560"/>
    </row>
    <row r="49" spans="3:13" s="338" customFormat="1">
      <c r="C49" s="558"/>
      <c r="D49" s="559"/>
      <c r="E49" s="559"/>
      <c r="F49" s="559"/>
      <c r="G49" s="558"/>
      <c r="H49" s="559"/>
      <c r="I49" s="559"/>
      <c r="J49" s="559"/>
      <c r="K49" s="560"/>
      <c r="L49" s="560"/>
      <c r="M49" s="560"/>
    </row>
    <row r="50" spans="3:13" s="338" customFormat="1">
      <c r="C50" s="558"/>
      <c r="D50" s="559"/>
      <c r="E50" s="559"/>
      <c r="F50" s="559"/>
      <c r="G50" s="558"/>
      <c r="H50" s="559"/>
      <c r="I50" s="559"/>
      <c r="J50" s="559"/>
      <c r="K50" s="560"/>
      <c r="L50" s="560"/>
      <c r="M50" s="560"/>
    </row>
    <row r="51" spans="3:13" s="338" customFormat="1">
      <c r="C51" s="558"/>
      <c r="D51" s="559"/>
      <c r="E51" s="559"/>
      <c r="F51" s="559"/>
      <c r="G51" s="558"/>
      <c r="H51" s="559"/>
      <c r="I51" s="559"/>
      <c r="J51" s="559"/>
      <c r="K51" s="560"/>
      <c r="L51" s="560"/>
      <c r="M51" s="560"/>
    </row>
    <row r="52" spans="3:13" s="338" customFormat="1">
      <c r="C52" s="558"/>
      <c r="D52" s="559"/>
      <c r="E52" s="559"/>
      <c r="F52" s="559"/>
      <c r="G52" s="558"/>
      <c r="H52" s="559"/>
      <c r="I52" s="559"/>
      <c r="J52" s="559"/>
      <c r="K52" s="560"/>
      <c r="L52" s="560"/>
      <c r="M52" s="560"/>
    </row>
    <row r="53" spans="3:13" s="338" customFormat="1">
      <c r="C53" s="558"/>
      <c r="D53" s="559"/>
      <c r="E53" s="559"/>
      <c r="F53" s="559"/>
      <c r="G53" s="558"/>
      <c r="H53" s="559"/>
      <c r="I53" s="559"/>
      <c r="J53" s="559"/>
      <c r="K53" s="560"/>
      <c r="L53" s="560"/>
      <c r="M53" s="560"/>
    </row>
    <row r="54" spans="3:13" s="338" customFormat="1">
      <c r="C54" s="558"/>
      <c r="D54" s="559"/>
      <c r="E54" s="559"/>
      <c r="F54" s="559"/>
      <c r="G54" s="558"/>
      <c r="H54" s="559"/>
      <c r="I54" s="559"/>
      <c r="J54" s="559"/>
      <c r="K54" s="560"/>
      <c r="L54" s="560"/>
      <c r="M54" s="560"/>
    </row>
    <row r="55" spans="3:13" s="338" customFormat="1">
      <c r="C55" s="558"/>
      <c r="D55" s="559"/>
      <c r="E55" s="559"/>
      <c r="F55" s="559"/>
      <c r="G55" s="558"/>
      <c r="H55" s="559"/>
      <c r="I55" s="559"/>
      <c r="J55" s="559"/>
      <c r="K55" s="560"/>
      <c r="L55" s="560"/>
      <c r="M55" s="560"/>
    </row>
    <row r="56" spans="3:13" s="338" customFormat="1">
      <c r="C56" s="558"/>
      <c r="D56" s="559"/>
      <c r="E56" s="559"/>
      <c r="F56" s="559"/>
      <c r="G56" s="558"/>
      <c r="H56" s="559"/>
      <c r="I56" s="559"/>
      <c r="J56" s="559"/>
      <c r="K56" s="560"/>
      <c r="L56" s="560"/>
      <c r="M56" s="560"/>
    </row>
    <row r="57" spans="3:13" s="338" customFormat="1">
      <c r="C57" s="558"/>
      <c r="D57" s="559"/>
      <c r="E57" s="559"/>
      <c r="F57" s="559"/>
      <c r="G57" s="558"/>
      <c r="H57" s="559"/>
      <c r="I57" s="559"/>
      <c r="J57" s="559"/>
      <c r="K57" s="560"/>
      <c r="L57" s="560"/>
      <c r="M57" s="560"/>
    </row>
    <row r="58" spans="3:13" s="338" customFormat="1">
      <c r="C58" s="558"/>
      <c r="D58" s="559"/>
      <c r="E58" s="559"/>
      <c r="F58" s="559"/>
      <c r="G58" s="558"/>
      <c r="H58" s="559"/>
      <c r="I58" s="559"/>
      <c r="J58" s="559"/>
      <c r="K58" s="560"/>
      <c r="L58" s="560"/>
      <c r="M58" s="560"/>
    </row>
    <row r="59" spans="3:13" s="338" customFormat="1">
      <c r="C59" s="558"/>
      <c r="D59" s="559"/>
      <c r="E59" s="559"/>
      <c r="F59" s="559"/>
      <c r="G59" s="558"/>
      <c r="H59" s="559"/>
      <c r="I59" s="559"/>
      <c r="J59" s="559"/>
      <c r="K59" s="560"/>
      <c r="L59" s="560"/>
      <c r="M59" s="560"/>
    </row>
    <row r="60" spans="3:13" s="338" customFormat="1">
      <c r="C60" s="558"/>
      <c r="D60" s="559"/>
      <c r="E60" s="559"/>
      <c r="F60" s="559"/>
      <c r="G60" s="558"/>
      <c r="H60" s="559"/>
      <c r="I60" s="559"/>
      <c r="J60" s="559"/>
      <c r="K60" s="560"/>
      <c r="L60" s="560"/>
      <c r="M60" s="560"/>
    </row>
    <row r="61" spans="3:13" s="338" customFormat="1">
      <c r="C61" s="558"/>
      <c r="D61" s="559"/>
      <c r="E61" s="559"/>
      <c r="F61" s="559"/>
      <c r="G61" s="558"/>
      <c r="H61" s="559"/>
      <c r="I61" s="559"/>
      <c r="J61" s="559"/>
      <c r="K61" s="560"/>
      <c r="L61" s="560"/>
      <c r="M61" s="560"/>
    </row>
    <row r="62" spans="3:13" s="338" customFormat="1">
      <c r="C62" s="558"/>
      <c r="D62" s="559"/>
      <c r="E62" s="559"/>
      <c r="F62" s="559"/>
      <c r="G62" s="558"/>
      <c r="H62" s="559"/>
      <c r="I62" s="559"/>
      <c r="J62" s="559"/>
      <c r="K62" s="560"/>
      <c r="L62" s="560"/>
      <c r="M62" s="560"/>
    </row>
    <row r="63" spans="3:13" s="338" customFormat="1">
      <c r="C63" s="558"/>
      <c r="D63" s="559"/>
      <c r="E63" s="559"/>
      <c r="F63" s="559"/>
      <c r="G63" s="558"/>
      <c r="H63" s="559"/>
      <c r="I63" s="559"/>
      <c r="J63" s="559"/>
      <c r="K63" s="560"/>
      <c r="L63" s="560"/>
      <c r="M63" s="560"/>
    </row>
    <row r="64" spans="3:13" s="338" customFormat="1">
      <c r="C64" s="558"/>
      <c r="D64" s="559"/>
      <c r="E64" s="559"/>
      <c r="F64" s="559"/>
      <c r="G64" s="558"/>
      <c r="H64" s="559"/>
      <c r="I64" s="559"/>
      <c r="J64" s="559"/>
      <c r="K64" s="560"/>
      <c r="L64" s="560"/>
      <c r="M64" s="560"/>
    </row>
    <row r="65" spans="3:13" s="338" customFormat="1">
      <c r="C65" s="558"/>
      <c r="D65" s="559"/>
      <c r="E65" s="559"/>
      <c r="F65" s="559"/>
      <c r="G65" s="558"/>
      <c r="H65" s="559"/>
      <c r="I65" s="559"/>
      <c r="J65" s="559"/>
      <c r="K65" s="560"/>
      <c r="L65" s="560"/>
      <c r="M65" s="560"/>
    </row>
    <row r="66" spans="3:13" s="338" customFormat="1">
      <c r="C66" s="558"/>
      <c r="D66" s="559"/>
      <c r="E66" s="559"/>
      <c r="F66" s="559"/>
      <c r="G66" s="558"/>
      <c r="H66" s="559"/>
      <c r="I66" s="559"/>
      <c r="J66" s="559"/>
      <c r="K66" s="560"/>
      <c r="L66" s="560"/>
      <c r="M66" s="560"/>
    </row>
    <row r="67" spans="3:13" s="338" customFormat="1">
      <c r="C67" s="558"/>
      <c r="D67" s="559"/>
      <c r="E67" s="559"/>
      <c r="F67" s="559"/>
      <c r="G67" s="558"/>
      <c r="H67" s="559"/>
      <c r="I67" s="559"/>
      <c r="J67" s="559"/>
      <c r="K67" s="560"/>
      <c r="L67" s="560"/>
      <c r="M67" s="560"/>
    </row>
    <row r="68" spans="3:13" s="338" customFormat="1">
      <c r="C68" s="558"/>
      <c r="D68" s="559"/>
      <c r="E68" s="559"/>
      <c r="F68" s="559"/>
      <c r="G68" s="558"/>
      <c r="H68" s="559"/>
      <c r="I68" s="559"/>
      <c r="J68" s="559"/>
      <c r="K68" s="560"/>
      <c r="L68" s="560"/>
      <c r="M68" s="560"/>
    </row>
    <row r="69" spans="3:13" s="338" customFormat="1">
      <c r="C69" s="558"/>
      <c r="D69" s="559"/>
      <c r="E69" s="559"/>
      <c r="F69" s="559"/>
      <c r="G69" s="558"/>
      <c r="H69" s="559"/>
      <c r="I69" s="559"/>
      <c r="J69" s="559"/>
      <c r="K69" s="560"/>
      <c r="L69" s="560"/>
      <c r="M69" s="560"/>
    </row>
    <row r="70" spans="3:13" s="338" customFormat="1">
      <c r="C70" s="558"/>
      <c r="D70" s="559"/>
      <c r="E70" s="559"/>
      <c r="F70" s="559"/>
      <c r="G70" s="558"/>
      <c r="H70" s="559"/>
      <c r="I70" s="559"/>
      <c r="J70" s="559"/>
      <c r="K70" s="560"/>
      <c r="L70" s="560"/>
      <c r="M70" s="560"/>
    </row>
    <row r="71" spans="3:13" s="338" customFormat="1">
      <c r="C71" s="558"/>
      <c r="D71" s="559"/>
      <c r="E71" s="559"/>
      <c r="F71" s="559"/>
      <c r="G71" s="558"/>
      <c r="H71" s="559"/>
      <c r="I71" s="559"/>
      <c r="J71" s="559"/>
      <c r="K71" s="560"/>
      <c r="L71" s="560"/>
      <c r="M71" s="560"/>
    </row>
    <row r="72" spans="3:13" s="338" customFormat="1">
      <c r="C72" s="558"/>
      <c r="D72" s="559"/>
      <c r="E72" s="559"/>
      <c r="F72" s="559"/>
      <c r="G72" s="558"/>
      <c r="H72" s="559"/>
      <c r="I72" s="559"/>
      <c r="J72" s="559"/>
      <c r="K72" s="560"/>
      <c r="L72" s="560"/>
      <c r="M72" s="560"/>
    </row>
    <row r="73" spans="3:13" s="338" customFormat="1">
      <c r="C73" s="558"/>
      <c r="D73" s="559"/>
      <c r="E73" s="559"/>
      <c r="F73" s="559"/>
      <c r="G73" s="558"/>
      <c r="H73" s="559"/>
      <c r="I73" s="559"/>
      <c r="J73" s="559"/>
      <c r="K73" s="560"/>
      <c r="L73" s="560"/>
      <c r="M73" s="560"/>
    </row>
    <row r="74" spans="3:13" s="338" customFormat="1">
      <c r="C74" s="558"/>
      <c r="D74" s="559"/>
      <c r="E74" s="559"/>
      <c r="F74" s="559"/>
      <c r="G74" s="558"/>
      <c r="H74" s="559"/>
      <c r="I74" s="559"/>
      <c r="J74" s="559"/>
      <c r="K74" s="560"/>
      <c r="L74" s="560"/>
      <c r="M74" s="560"/>
    </row>
    <row r="75" spans="3:13" s="338" customFormat="1">
      <c r="C75" s="558"/>
      <c r="D75" s="559"/>
      <c r="E75" s="559"/>
      <c r="F75" s="559"/>
      <c r="G75" s="558"/>
      <c r="H75" s="559"/>
      <c r="I75" s="559"/>
      <c r="J75" s="559"/>
      <c r="K75" s="560"/>
      <c r="L75" s="560"/>
      <c r="M75" s="560"/>
    </row>
    <row r="76" spans="3:13" s="338" customFormat="1">
      <c r="C76" s="558"/>
      <c r="D76" s="559"/>
      <c r="E76" s="559"/>
      <c r="F76" s="559"/>
      <c r="G76" s="558"/>
      <c r="H76" s="559"/>
      <c r="I76" s="559"/>
      <c r="J76" s="559"/>
      <c r="K76" s="560"/>
      <c r="L76" s="560"/>
      <c r="M76" s="560"/>
    </row>
    <row r="77" spans="3:13" s="338" customFormat="1">
      <c r="C77" s="558"/>
      <c r="D77" s="559"/>
      <c r="E77" s="559"/>
      <c r="F77" s="559"/>
      <c r="G77" s="558"/>
      <c r="H77" s="559"/>
      <c r="I77" s="559"/>
      <c r="J77" s="559"/>
      <c r="K77" s="560"/>
      <c r="L77" s="560"/>
      <c r="M77" s="560"/>
    </row>
    <row r="78" spans="3:13" s="338" customFormat="1">
      <c r="C78" s="558"/>
      <c r="D78" s="559"/>
      <c r="E78" s="559"/>
      <c r="F78" s="559"/>
      <c r="G78" s="558"/>
      <c r="H78" s="559"/>
      <c r="I78" s="559"/>
      <c r="J78" s="559"/>
      <c r="K78" s="560"/>
      <c r="L78" s="560"/>
      <c r="M78" s="560"/>
    </row>
    <row r="79" spans="3:13" s="338" customFormat="1">
      <c r="C79" s="558"/>
      <c r="D79" s="559"/>
      <c r="E79" s="559"/>
      <c r="F79" s="559"/>
      <c r="G79" s="558"/>
      <c r="H79" s="559"/>
      <c r="I79" s="559"/>
      <c r="J79" s="559"/>
      <c r="K79" s="560"/>
      <c r="L79" s="560"/>
      <c r="M79" s="560"/>
    </row>
    <row r="80" spans="3:13" s="338" customFormat="1">
      <c r="C80" s="558"/>
      <c r="D80" s="559"/>
      <c r="E80" s="559"/>
      <c r="F80" s="559"/>
      <c r="G80" s="558"/>
      <c r="H80" s="559"/>
      <c r="I80" s="559"/>
      <c r="J80" s="559"/>
      <c r="K80" s="560"/>
      <c r="L80" s="560"/>
      <c r="M80" s="560"/>
    </row>
    <row r="81" spans="3:13" s="338" customFormat="1">
      <c r="C81" s="558"/>
      <c r="D81" s="559"/>
      <c r="E81" s="559"/>
      <c r="F81" s="559"/>
      <c r="G81" s="558"/>
      <c r="H81" s="559"/>
      <c r="I81" s="559"/>
      <c r="J81" s="559"/>
      <c r="K81" s="560"/>
      <c r="L81" s="560"/>
      <c r="M81" s="560"/>
    </row>
    <row r="82" spans="3:13" s="338" customFormat="1">
      <c r="C82" s="558"/>
      <c r="D82" s="559"/>
      <c r="E82" s="559"/>
      <c r="F82" s="559"/>
      <c r="G82" s="558"/>
      <c r="H82" s="559"/>
      <c r="I82" s="559"/>
      <c r="J82" s="559"/>
      <c r="K82" s="560"/>
      <c r="L82" s="560"/>
      <c r="M82" s="560"/>
    </row>
    <row r="83" spans="3:13" s="338" customFormat="1">
      <c r="C83" s="558"/>
      <c r="D83" s="559"/>
      <c r="E83" s="559"/>
      <c r="F83" s="559"/>
      <c r="G83" s="558"/>
      <c r="H83" s="559"/>
      <c r="I83" s="559"/>
      <c r="J83" s="559"/>
      <c r="K83" s="560"/>
      <c r="L83" s="560"/>
      <c r="M83" s="560"/>
    </row>
    <row r="84" spans="3:13" s="338" customFormat="1">
      <c r="C84" s="558"/>
      <c r="D84" s="559"/>
      <c r="E84" s="559"/>
      <c r="F84" s="559"/>
      <c r="G84" s="558"/>
      <c r="H84" s="559"/>
      <c r="I84" s="559"/>
      <c r="J84" s="559"/>
      <c r="K84" s="560"/>
      <c r="L84" s="560"/>
      <c r="M84" s="560"/>
    </row>
    <row r="85" spans="3:13" s="338" customFormat="1">
      <c r="C85" s="558"/>
      <c r="D85" s="559"/>
      <c r="E85" s="559"/>
      <c r="F85" s="559"/>
      <c r="G85" s="558"/>
      <c r="H85" s="559"/>
      <c r="I85" s="559"/>
      <c r="J85" s="559"/>
      <c r="K85" s="560"/>
      <c r="L85" s="560"/>
      <c r="M85" s="560"/>
    </row>
    <row r="86" spans="3:13" s="338" customFormat="1">
      <c r="C86" s="558"/>
      <c r="D86" s="559"/>
      <c r="E86" s="559"/>
      <c r="F86" s="559"/>
      <c r="G86" s="558"/>
      <c r="H86" s="559"/>
      <c r="I86" s="559"/>
      <c r="J86" s="559"/>
      <c r="K86" s="560"/>
      <c r="L86" s="560"/>
      <c r="M86" s="560"/>
    </row>
    <row r="87" spans="3:13" s="338" customFormat="1">
      <c r="C87" s="558"/>
      <c r="D87" s="559"/>
      <c r="E87" s="559"/>
      <c r="F87" s="559"/>
      <c r="G87" s="558"/>
      <c r="H87" s="559"/>
      <c r="I87" s="559"/>
      <c r="J87" s="559"/>
      <c r="K87" s="560"/>
      <c r="L87" s="560"/>
      <c r="M87" s="560"/>
    </row>
    <row r="88" spans="3:13" s="338" customFormat="1">
      <c r="C88" s="558"/>
      <c r="D88" s="559"/>
      <c r="E88" s="559"/>
      <c r="F88" s="559"/>
      <c r="G88" s="558"/>
      <c r="H88" s="559"/>
      <c r="I88" s="559"/>
      <c r="J88" s="559"/>
      <c r="K88" s="560"/>
      <c r="L88" s="560"/>
      <c r="M88" s="560"/>
    </row>
    <row r="89" spans="3:13" s="338" customFormat="1">
      <c r="C89" s="558"/>
      <c r="D89" s="559"/>
      <c r="E89" s="559"/>
      <c r="F89" s="559"/>
      <c r="G89" s="558"/>
      <c r="H89" s="559"/>
      <c r="I89" s="559"/>
      <c r="J89" s="559"/>
      <c r="K89" s="560"/>
      <c r="L89" s="560"/>
      <c r="M89" s="560"/>
    </row>
    <row r="90" spans="3:13" s="338" customFormat="1">
      <c r="C90" s="558"/>
      <c r="D90" s="559"/>
      <c r="E90" s="559"/>
      <c r="F90" s="559"/>
      <c r="G90" s="558"/>
      <c r="H90" s="559"/>
      <c r="I90" s="559"/>
      <c r="J90" s="559"/>
      <c r="K90" s="560"/>
      <c r="L90" s="560"/>
      <c r="M90" s="560"/>
    </row>
    <row r="91" spans="3:13" s="338" customFormat="1">
      <c r="C91" s="558"/>
      <c r="D91" s="559"/>
      <c r="E91" s="559"/>
      <c r="F91" s="559"/>
      <c r="G91" s="558"/>
      <c r="H91" s="559"/>
      <c r="I91" s="559"/>
      <c r="J91" s="559"/>
      <c r="K91" s="560"/>
      <c r="L91" s="560"/>
      <c r="M91" s="560"/>
    </row>
    <row r="92" spans="3:13" s="338" customFormat="1">
      <c r="C92" s="558"/>
      <c r="D92" s="559"/>
      <c r="E92" s="559"/>
      <c r="F92" s="559"/>
      <c r="G92" s="558"/>
      <c r="H92" s="559"/>
      <c r="I92" s="559"/>
      <c r="J92" s="559"/>
      <c r="K92" s="560"/>
      <c r="L92" s="560"/>
      <c r="M92" s="560"/>
    </row>
    <row r="93" spans="3:13" s="338" customFormat="1">
      <c r="C93" s="558"/>
      <c r="D93" s="559"/>
      <c r="E93" s="559"/>
      <c r="F93" s="559"/>
      <c r="G93" s="558"/>
      <c r="H93" s="559"/>
      <c r="I93" s="559"/>
      <c r="J93" s="559"/>
      <c r="K93" s="560"/>
      <c r="L93" s="560"/>
      <c r="M93" s="560"/>
    </row>
    <row r="94" spans="3:13" s="338" customFormat="1">
      <c r="C94" s="558"/>
      <c r="D94" s="559"/>
      <c r="E94" s="559"/>
      <c r="F94" s="559"/>
      <c r="G94" s="558"/>
      <c r="H94" s="559"/>
      <c r="I94" s="559"/>
      <c r="J94" s="559"/>
      <c r="K94" s="560"/>
      <c r="L94" s="560"/>
      <c r="M94" s="560"/>
    </row>
    <row r="95" spans="3:13" s="338" customFormat="1">
      <c r="C95" s="558"/>
      <c r="D95" s="559"/>
      <c r="E95" s="559"/>
      <c r="F95" s="559"/>
      <c r="G95" s="558"/>
      <c r="H95" s="559"/>
      <c r="I95" s="559"/>
      <c r="J95" s="559"/>
      <c r="K95" s="560"/>
      <c r="L95" s="560"/>
      <c r="M95" s="560"/>
    </row>
    <row r="96" spans="3:13" s="338" customFormat="1">
      <c r="C96" s="558"/>
      <c r="D96" s="559"/>
      <c r="E96" s="559"/>
      <c r="F96" s="559"/>
      <c r="G96" s="558"/>
      <c r="H96" s="559"/>
      <c r="I96" s="559"/>
      <c r="J96" s="559"/>
      <c r="K96" s="560"/>
      <c r="L96" s="560"/>
      <c r="M96" s="560"/>
    </row>
    <row r="97" spans="3:13" s="338" customFormat="1">
      <c r="C97" s="558"/>
      <c r="D97" s="559"/>
      <c r="E97" s="559"/>
      <c r="F97" s="559"/>
      <c r="G97" s="558"/>
      <c r="H97" s="559"/>
      <c r="I97" s="559"/>
      <c r="J97" s="559"/>
      <c r="K97" s="560"/>
      <c r="L97" s="560"/>
      <c r="M97" s="560"/>
    </row>
    <row r="98" spans="3:13" s="338" customFormat="1">
      <c r="C98" s="558"/>
      <c r="D98" s="559"/>
      <c r="E98" s="559"/>
      <c r="F98" s="559"/>
      <c r="G98" s="558"/>
      <c r="H98" s="559"/>
      <c r="I98" s="559"/>
      <c r="J98" s="559"/>
      <c r="K98" s="560"/>
      <c r="L98" s="560"/>
      <c r="M98" s="560"/>
    </row>
    <row r="99" spans="3:13" s="338" customFormat="1">
      <c r="C99" s="558"/>
      <c r="D99" s="559"/>
      <c r="E99" s="559"/>
      <c r="F99" s="559"/>
      <c r="G99" s="558"/>
      <c r="H99" s="559"/>
      <c r="I99" s="559"/>
      <c r="J99" s="559"/>
      <c r="K99" s="560"/>
      <c r="L99" s="560"/>
      <c r="M99" s="560"/>
    </row>
    <row r="100" spans="3:13" s="338" customFormat="1">
      <c r="C100" s="558"/>
      <c r="D100" s="559"/>
      <c r="E100" s="559"/>
      <c r="F100" s="559"/>
      <c r="G100" s="558"/>
      <c r="H100" s="559"/>
      <c r="I100" s="559"/>
      <c r="J100" s="559"/>
      <c r="K100" s="560"/>
      <c r="L100" s="560"/>
      <c r="M100" s="560"/>
    </row>
    <row r="101" spans="3:13" s="338" customFormat="1">
      <c r="C101" s="558"/>
      <c r="D101" s="559"/>
      <c r="E101" s="559"/>
      <c r="F101" s="559"/>
      <c r="G101" s="558"/>
      <c r="H101" s="559"/>
      <c r="I101" s="559"/>
      <c r="J101" s="559"/>
      <c r="K101" s="560"/>
      <c r="L101" s="560"/>
      <c r="M101" s="560"/>
    </row>
    <row r="102" spans="3:13" s="338" customFormat="1">
      <c r="C102" s="558"/>
      <c r="D102" s="559"/>
      <c r="E102" s="559"/>
      <c r="F102" s="559"/>
      <c r="G102" s="558"/>
      <c r="H102" s="559"/>
      <c r="I102" s="559"/>
      <c r="J102" s="559"/>
      <c r="K102" s="560"/>
      <c r="L102" s="560"/>
      <c r="M102" s="560"/>
    </row>
    <row r="103" spans="3:13" s="338" customFormat="1">
      <c r="C103" s="558"/>
      <c r="D103" s="559"/>
      <c r="E103" s="559"/>
      <c r="F103" s="559"/>
      <c r="G103" s="558"/>
      <c r="H103" s="559"/>
      <c r="I103" s="559"/>
      <c r="J103" s="559"/>
      <c r="K103" s="560"/>
      <c r="L103" s="560"/>
      <c r="M103" s="560"/>
    </row>
    <row r="104" spans="3:13" s="338" customFormat="1">
      <c r="C104" s="558"/>
      <c r="D104" s="559"/>
      <c r="E104" s="559"/>
      <c r="F104" s="559"/>
      <c r="G104" s="558"/>
      <c r="H104" s="559"/>
      <c r="I104" s="559"/>
      <c r="J104" s="559"/>
      <c r="K104" s="560"/>
      <c r="L104" s="560"/>
      <c r="M104" s="560"/>
    </row>
    <row r="105" spans="3:13" s="338" customFormat="1">
      <c r="C105" s="558"/>
      <c r="D105" s="559"/>
      <c r="E105" s="559"/>
      <c r="F105" s="559"/>
      <c r="G105" s="558"/>
      <c r="H105" s="559"/>
      <c r="I105" s="559"/>
      <c r="J105" s="559"/>
      <c r="K105" s="560"/>
      <c r="L105" s="560"/>
      <c r="M105" s="560"/>
    </row>
    <row r="106" spans="3:13" s="338" customFormat="1">
      <c r="C106" s="558"/>
      <c r="D106" s="559"/>
      <c r="E106" s="559"/>
      <c r="F106" s="559"/>
      <c r="G106" s="558"/>
      <c r="H106" s="559"/>
      <c r="I106" s="559"/>
      <c r="J106" s="559"/>
      <c r="K106" s="560"/>
      <c r="L106" s="560"/>
      <c r="M106" s="560"/>
    </row>
    <row r="107" spans="3:13" s="338" customFormat="1">
      <c r="C107" s="558"/>
      <c r="D107" s="559"/>
      <c r="E107" s="559"/>
      <c r="F107" s="559"/>
      <c r="G107" s="558"/>
      <c r="H107" s="559"/>
      <c r="I107" s="559"/>
      <c r="J107" s="559"/>
      <c r="K107" s="560"/>
      <c r="L107" s="560"/>
      <c r="M107" s="560"/>
    </row>
    <row r="108" spans="3:13" s="338" customFormat="1">
      <c r="C108" s="558"/>
      <c r="D108" s="559"/>
      <c r="E108" s="559"/>
      <c r="F108" s="559"/>
      <c r="G108" s="558"/>
      <c r="H108" s="559"/>
      <c r="I108" s="559"/>
      <c r="J108" s="559"/>
      <c r="K108" s="560"/>
      <c r="L108" s="560"/>
      <c r="M108" s="560"/>
    </row>
    <row r="109" spans="3:13" s="338" customFormat="1">
      <c r="C109" s="558"/>
      <c r="D109" s="559"/>
      <c r="E109" s="559"/>
      <c r="F109" s="559"/>
      <c r="G109" s="558"/>
      <c r="H109" s="559"/>
      <c r="I109" s="559"/>
      <c r="J109" s="559"/>
      <c r="K109" s="560"/>
      <c r="L109" s="560"/>
      <c r="M109" s="560"/>
    </row>
    <row r="110" spans="3:13" s="338" customFormat="1">
      <c r="C110" s="558"/>
      <c r="D110" s="559"/>
      <c r="E110" s="559"/>
      <c r="F110" s="559"/>
      <c r="G110" s="558"/>
      <c r="H110" s="559"/>
      <c r="I110" s="559"/>
      <c r="J110" s="559"/>
      <c r="K110" s="560"/>
      <c r="L110" s="560"/>
      <c r="M110" s="560"/>
    </row>
    <row r="111" spans="3:13" s="338" customFormat="1">
      <c r="C111" s="558"/>
      <c r="D111" s="559"/>
      <c r="E111" s="559"/>
      <c r="F111" s="559"/>
      <c r="G111" s="558"/>
      <c r="H111" s="559"/>
      <c r="I111" s="559"/>
      <c r="J111" s="559"/>
      <c r="K111" s="560"/>
      <c r="L111" s="560"/>
      <c r="M111" s="560"/>
    </row>
    <row r="112" spans="3:13" s="338" customFormat="1">
      <c r="C112" s="558"/>
      <c r="D112" s="559"/>
      <c r="E112" s="559"/>
      <c r="F112" s="559"/>
      <c r="G112" s="558"/>
      <c r="H112" s="559"/>
      <c r="I112" s="559"/>
      <c r="J112" s="559"/>
      <c r="K112" s="560"/>
      <c r="L112" s="560"/>
      <c r="M112" s="560"/>
    </row>
    <row r="113" spans="3:13" s="338" customFormat="1">
      <c r="C113" s="558"/>
      <c r="D113" s="559"/>
      <c r="E113" s="559"/>
      <c r="F113" s="559"/>
      <c r="G113" s="558"/>
      <c r="H113" s="559"/>
      <c r="I113" s="559"/>
      <c r="J113" s="559"/>
      <c r="K113" s="560"/>
      <c r="L113" s="560"/>
      <c r="M113" s="560"/>
    </row>
    <row r="114" spans="3:13" s="338" customFormat="1">
      <c r="C114" s="558"/>
      <c r="D114" s="559"/>
      <c r="E114" s="559"/>
      <c r="F114" s="559"/>
      <c r="G114" s="558"/>
      <c r="H114" s="559"/>
      <c r="I114" s="559"/>
      <c r="J114" s="559"/>
      <c r="K114" s="560"/>
      <c r="L114" s="560"/>
      <c r="M114" s="560"/>
    </row>
    <row r="115" spans="3:13" s="338" customFormat="1">
      <c r="C115" s="558"/>
      <c r="D115" s="559"/>
      <c r="E115" s="559"/>
      <c r="F115" s="559"/>
      <c r="G115" s="558"/>
      <c r="H115" s="559"/>
      <c r="I115" s="559"/>
      <c r="J115" s="559"/>
      <c r="K115" s="560"/>
      <c r="L115" s="560"/>
      <c r="M115" s="560"/>
    </row>
    <row r="116" spans="3:13" s="338" customFormat="1">
      <c r="C116" s="558"/>
      <c r="D116" s="559"/>
      <c r="E116" s="559"/>
      <c r="F116" s="559"/>
      <c r="G116" s="558"/>
      <c r="H116" s="559"/>
      <c r="I116" s="559"/>
      <c r="J116" s="559"/>
      <c r="K116" s="560"/>
      <c r="L116" s="560"/>
      <c r="M116" s="560"/>
    </row>
    <row r="117" spans="3:13" s="338" customFormat="1">
      <c r="C117" s="558"/>
      <c r="D117" s="559"/>
      <c r="E117" s="559"/>
      <c r="F117" s="559"/>
      <c r="G117" s="558"/>
      <c r="H117" s="559"/>
      <c r="I117" s="559"/>
      <c r="J117" s="559"/>
      <c r="K117" s="560"/>
      <c r="L117" s="560"/>
      <c r="M117" s="560"/>
    </row>
    <row r="118" spans="3:13" s="338" customFormat="1">
      <c r="C118" s="558"/>
      <c r="D118" s="559"/>
      <c r="E118" s="559"/>
      <c r="F118" s="559"/>
      <c r="G118" s="558"/>
      <c r="H118" s="559"/>
      <c r="I118" s="559"/>
      <c r="J118" s="559"/>
      <c r="K118" s="560"/>
      <c r="L118" s="560"/>
      <c r="M118" s="560"/>
    </row>
    <row r="119" spans="3:13" s="338" customFormat="1">
      <c r="C119" s="558"/>
      <c r="D119" s="559"/>
      <c r="E119" s="559"/>
      <c r="F119" s="559"/>
      <c r="G119" s="558"/>
      <c r="H119" s="559"/>
      <c r="I119" s="559"/>
      <c r="J119" s="559"/>
      <c r="K119" s="560"/>
      <c r="L119" s="560"/>
      <c r="M119" s="560"/>
    </row>
    <row r="120" spans="3:13" s="338" customFormat="1">
      <c r="C120" s="558"/>
      <c r="D120" s="559"/>
      <c r="E120" s="559"/>
      <c r="F120" s="559"/>
      <c r="G120" s="558"/>
      <c r="H120" s="559"/>
      <c r="I120" s="559"/>
      <c r="J120" s="559"/>
      <c r="K120" s="560"/>
      <c r="L120" s="560"/>
      <c r="M120" s="560"/>
    </row>
    <row r="121" spans="3:13" s="338" customFormat="1">
      <c r="C121" s="558"/>
      <c r="D121" s="559"/>
      <c r="E121" s="559"/>
      <c r="F121" s="559"/>
      <c r="G121" s="558"/>
      <c r="H121" s="559"/>
      <c r="I121" s="559"/>
      <c r="J121" s="559"/>
      <c r="K121" s="560"/>
      <c r="L121" s="560"/>
      <c r="M121" s="560"/>
    </row>
    <row r="122" spans="3:13" s="338" customFormat="1">
      <c r="C122" s="558"/>
      <c r="D122" s="559"/>
      <c r="E122" s="559"/>
      <c r="F122" s="559"/>
      <c r="G122" s="558"/>
      <c r="H122" s="559"/>
      <c r="I122" s="559"/>
      <c r="J122" s="559"/>
      <c r="K122" s="560"/>
      <c r="L122" s="560"/>
      <c r="M122" s="560"/>
    </row>
    <row r="123" spans="3:13" s="338" customFormat="1">
      <c r="C123" s="558"/>
      <c r="D123" s="559"/>
      <c r="E123" s="559"/>
      <c r="F123" s="559"/>
      <c r="G123" s="558"/>
      <c r="H123" s="559"/>
      <c r="I123" s="559"/>
      <c r="J123" s="559"/>
      <c r="K123" s="560"/>
      <c r="L123" s="560"/>
      <c r="M123" s="560"/>
    </row>
    <row r="124" spans="3:13" s="338" customFormat="1">
      <c r="C124" s="558"/>
      <c r="D124" s="559"/>
      <c r="E124" s="559"/>
      <c r="F124" s="559"/>
      <c r="G124" s="558"/>
      <c r="H124" s="559"/>
      <c r="I124" s="559"/>
      <c r="J124" s="559"/>
      <c r="K124" s="560"/>
      <c r="L124" s="560"/>
      <c r="M124" s="560"/>
    </row>
    <row r="125" spans="3:13" s="338" customFormat="1">
      <c r="C125" s="558"/>
      <c r="D125" s="559"/>
      <c r="E125" s="559"/>
      <c r="F125" s="559"/>
      <c r="G125" s="558"/>
      <c r="H125" s="559"/>
      <c r="I125" s="559"/>
      <c r="J125" s="559"/>
      <c r="K125" s="560"/>
      <c r="L125" s="560"/>
      <c r="M125" s="560"/>
    </row>
    <row r="126" spans="3:13" s="338" customFormat="1">
      <c r="C126" s="558"/>
      <c r="D126" s="559"/>
      <c r="E126" s="559"/>
      <c r="F126" s="559"/>
      <c r="G126" s="558"/>
      <c r="H126" s="559"/>
      <c r="I126" s="559"/>
      <c r="J126" s="559"/>
      <c r="K126" s="560"/>
      <c r="L126" s="560"/>
      <c r="M126" s="560"/>
    </row>
    <row r="127" spans="3:13" s="338" customFormat="1">
      <c r="C127" s="558"/>
      <c r="D127" s="559"/>
      <c r="E127" s="559"/>
      <c r="F127" s="559"/>
      <c r="G127" s="558"/>
      <c r="H127" s="559"/>
      <c r="I127" s="559"/>
      <c r="J127" s="559"/>
      <c r="K127" s="560"/>
      <c r="L127" s="560"/>
      <c r="M127" s="560"/>
    </row>
    <row r="128" spans="3:13" s="338" customFormat="1">
      <c r="C128" s="558"/>
      <c r="D128" s="559"/>
      <c r="E128" s="559"/>
      <c r="F128" s="559"/>
      <c r="G128" s="558"/>
      <c r="H128" s="559"/>
      <c r="I128" s="559"/>
      <c r="J128" s="559"/>
      <c r="K128" s="560"/>
      <c r="L128" s="560"/>
      <c r="M128" s="560"/>
    </row>
    <row r="129" spans="3:13" s="338" customFormat="1">
      <c r="C129" s="558"/>
      <c r="D129" s="559"/>
      <c r="E129" s="559"/>
      <c r="F129" s="559"/>
      <c r="G129" s="558"/>
      <c r="H129" s="559"/>
      <c r="I129" s="559"/>
      <c r="J129" s="559"/>
      <c r="K129" s="560"/>
      <c r="L129" s="560"/>
      <c r="M129" s="560"/>
    </row>
    <row r="130" spans="3:13" s="338" customFormat="1">
      <c r="C130" s="558"/>
      <c r="D130" s="559"/>
      <c r="E130" s="559"/>
      <c r="F130" s="559"/>
      <c r="G130" s="558"/>
      <c r="H130" s="559"/>
      <c r="I130" s="559"/>
      <c r="J130" s="559"/>
      <c r="K130" s="560"/>
      <c r="L130" s="560"/>
      <c r="M130" s="560"/>
    </row>
    <row r="131" spans="3:13" s="338" customFormat="1">
      <c r="C131" s="558"/>
      <c r="D131" s="559"/>
      <c r="E131" s="559"/>
      <c r="F131" s="559"/>
      <c r="G131" s="558"/>
      <c r="H131" s="559"/>
      <c r="I131" s="559"/>
      <c r="J131" s="559"/>
      <c r="K131" s="560"/>
      <c r="L131" s="560"/>
      <c r="M131" s="560"/>
    </row>
    <row r="132" spans="3:13" s="338" customFormat="1">
      <c r="C132" s="558"/>
      <c r="D132" s="559"/>
      <c r="E132" s="559"/>
      <c r="F132" s="559"/>
      <c r="G132" s="558"/>
      <c r="H132" s="559"/>
      <c r="I132" s="559"/>
      <c r="J132" s="559"/>
      <c r="K132" s="560"/>
      <c r="L132" s="560"/>
      <c r="M132" s="560"/>
    </row>
    <row r="133" spans="3:13" s="338" customFormat="1">
      <c r="C133" s="558"/>
      <c r="D133" s="559"/>
      <c r="E133" s="559"/>
      <c r="F133" s="559"/>
      <c r="G133" s="558"/>
      <c r="H133" s="559"/>
      <c r="I133" s="559"/>
      <c r="J133" s="559"/>
      <c r="K133" s="560"/>
      <c r="L133" s="560"/>
      <c r="M133" s="560"/>
    </row>
    <row r="134" spans="3:13" s="338" customFormat="1">
      <c r="C134" s="558"/>
      <c r="D134" s="559"/>
      <c r="E134" s="559"/>
      <c r="F134" s="559"/>
      <c r="G134" s="558"/>
      <c r="H134" s="559"/>
      <c r="I134" s="559"/>
      <c r="J134" s="559"/>
      <c r="K134" s="560"/>
      <c r="L134" s="560"/>
      <c r="M134" s="560"/>
    </row>
    <row r="135" spans="3:13" s="338" customFormat="1">
      <c r="C135" s="558"/>
      <c r="D135" s="559"/>
      <c r="E135" s="559"/>
      <c r="F135" s="559"/>
      <c r="G135" s="558"/>
      <c r="H135" s="559"/>
      <c r="I135" s="559"/>
      <c r="J135" s="559"/>
      <c r="K135" s="560"/>
      <c r="L135" s="560"/>
      <c r="M135" s="560"/>
    </row>
    <row r="136" spans="3:13" s="338" customFormat="1">
      <c r="C136" s="558"/>
      <c r="D136" s="559"/>
      <c r="E136" s="559"/>
      <c r="F136" s="559"/>
      <c r="G136" s="558"/>
      <c r="H136" s="559"/>
      <c r="I136" s="559"/>
      <c r="J136" s="559"/>
      <c r="K136" s="560"/>
      <c r="L136" s="560"/>
      <c r="M136" s="560"/>
    </row>
    <row r="137" spans="3:13" s="338" customFormat="1">
      <c r="C137" s="558"/>
      <c r="D137" s="559"/>
      <c r="E137" s="559"/>
      <c r="F137" s="559"/>
      <c r="G137" s="558"/>
      <c r="H137" s="559"/>
      <c r="I137" s="559"/>
      <c r="J137" s="559"/>
      <c r="K137" s="560"/>
      <c r="L137" s="560"/>
      <c r="M137" s="560"/>
    </row>
    <row r="138" spans="3:13" s="338" customFormat="1">
      <c r="C138" s="558"/>
      <c r="D138" s="559"/>
      <c r="E138" s="559"/>
      <c r="F138" s="559"/>
      <c r="G138" s="558"/>
      <c r="H138" s="559"/>
      <c r="I138" s="559"/>
      <c r="J138" s="559"/>
      <c r="K138" s="560"/>
      <c r="L138" s="560"/>
      <c r="M138" s="560"/>
    </row>
    <row r="139" spans="3:13" s="338" customFormat="1">
      <c r="C139" s="558"/>
      <c r="D139" s="559"/>
      <c r="E139" s="559"/>
      <c r="F139" s="559"/>
      <c r="G139" s="558"/>
      <c r="H139" s="559"/>
      <c r="I139" s="559"/>
      <c r="J139" s="559"/>
      <c r="K139" s="560"/>
      <c r="L139" s="560"/>
      <c r="M139" s="560"/>
    </row>
    <row r="140" spans="3:13" s="338" customFormat="1">
      <c r="C140" s="558"/>
      <c r="D140" s="559"/>
      <c r="E140" s="559"/>
      <c r="F140" s="559"/>
      <c r="G140" s="558"/>
      <c r="H140" s="559"/>
      <c r="I140" s="559"/>
      <c r="J140" s="559"/>
      <c r="K140" s="560"/>
      <c r="L140" s="560"/>
      <c r="M140" s="560"/>
    </row>
    <row r="141" spans="3:13" s="338" customFormat="1">
      <c r="C141" s="558"/>
      <c r="D141" s="559"/>
      <c r="E141" s="559"/>
      <c r="F141" s="559"/>
      <c r="G141" s="558"/>
      <c r="H141" s="559"/>
      <c r="I141" s="559"/>
      <c r="J141" s="559"/>
      <c r="K141" s="560"/>
      <c r="L141" s="560"/>
      <c r="M141" s="560"/>
    </row>
    <row r="142" spans="3:13" s="338" customFormat="1">
      <c r="C142" s="558"/>
      <c r="D142" s="559"/>
      <c r="E142" s="559"/>
      <c r="F142" s="559"/>
      <c r="G142" s="558"/>
      <c r="H142" s="559"/>
      <c r="I142" s="559"/>
      <c r="J142" s="559"/>
      <c r="K142" s="560"/>
      <c r="L142" s="560"/>
      <c r="M142" s="560"/>
    </row>
    <row r="143" spans="3:13" s="338" customFormat="1">
      <c r="C143" s="558"/>
      <c r="D143" s="559"/>
      <c r="E143" s="559"/>
      <c r="F143" s="559"/>
      <c r="G143" s="558"/>
      <c r="H143" s="559"/>
      <c r="I143" s="559"/>
      <c r="J143" s="559"/>
      <c r="K143" s="560"/>
      <c r="L143" s="560"/>
      <c r="M143" s="560"/>
    </row>
    <row r="144" spans="3:13" s="338" customFormat="1">
      <c r="C144" s="558"/>
      <c r="D144" s="559"/>
      <c r="E144" s="559"/>
      <c r="F144" s="559"/>
      <c r="G144" s="558"/>
      <c r="H144" s="559"/>
      <c r="I144" s="559"/>
      <c r="J144" s="559"/>
      <c r="K144" s="560"/>
      <c r="L144" s="560"/>
      <c r="M144" s="560"/>
    </row>
    <row r="145" spans="3:13" s="338" customFormat="1">
      <c r="C145" s="558"/>
      <c r="D145" s="559"/>
      <c r="E145" s="559"/>
      <c r="F145" s="559"/>
      <c r="G145" s="558"/>
      <c r="H145" s="559"/>
      <c r="I145" s="559"/>
      <c r="J145" s="559"/>
      <c r="K145" s="560"/>
      <c r="L145" s="560"/>
      <c r="M145" s="560"/>
    </row>
    <row r="146" spans="3:13" s="338" customFormat="1">
      <c r="C146" s="558"/>
      <c r="D146" s="559"/>
      <c r="E146" s="559"/>
      <c r="F146" s="559"/>
      <c r="G146" s="558"/>
      <c r="H146" s="559"/>
      <c r="I146" s="559"/>
      <c r="J146" s="559"/>
      <c r="K146" s="560"/>
      <c r="L146" s="560"/>
      <c r="M146" s="560"/>
    </row>
    <row r="147" spans="3:13" s="338" customFormat="1">
      <c r="C147" s="558"/>
      <c r="D147" s="559"/>
      <c r="E147" s="559"/>
      <c r="F147" s="559"/>
      <c r="G147" s="558"/>
      <c r="H147" s="559"/>
      <c r="I147" s="559"/>
      <c r="J147" s="559"/>
      <c r="K147" s="560"/>
      <c r="L147" s="560"/>
      <c r="M147" s="560"/>
    </row>
    <row r="148" spans="3:13" s="338" customFormat="1">
      <c r="C148" s="558"/>
      <c r="D148" s="559"/>
      <c r="E148" s="559"/>
      <c r="F148" s="559"/>
      <c r="G148" s="558"/>
      <c r="H148" s="559"/>
      <c r="I148" s="559"/>
      <c r="J148" s="559"/>
      <c r="K148" s="560"/>
      <c r="L148" s="560"/>
      <c r="M148" s="560"/>
    </row>
    <row r="149" spans="3:13" s="338" customFormat="1">
      <c r="C149" s="558"/>
      <c r="D149" s="559"/>
      <c r="E149" s="559"/>
      <c r="F149" s="559"/>
      <c r="G149" s="558"/>
      <c r="H149" s="559"/>
      <c r="I149" s="559"/>
      <c r="J149" s="559"/>
      <c r="K149" s="560"/>
      <c r="L149" s="560"/>
      <c r="M149" s="560"/>
    </row>
    <row r="150" spans="3:13" s="338" customFormat="1">
      <c r="C150" s="558"/>
      <c r="D150" s="559"/>
      <c r="E150" s="559"/>
      <c r="F150" s="559"/>
      <c r="G150" s="558"/>
      <c r="H150" s="559"/>
      <c r="I150" s="559"/>
      <c r="J150" s="559"/>
      <c r="K150" s="560"/>
      <c r="L150" s="560"/>
      <c r="M150" s="560"/>
    </row>
    <row r="151" spans="3:13" s="338" customFormat="1">
      <c r="C151" s="558"/>
      <c r="D151" s="559"/>
      <c r="E151" s="559"/>
      <c r="F151" s="559"/>
      <c r="G151" s="558"/>
      <c r="H151" s="559"/>
      <c r="I151" s="559"/>
      <c r="J151" s="559"/>
      <c r="K151" s="560"/>
      <c r="L151" s="560"/>
      <c r="M151" s="560"/>
    </row>
    <row r="152" spans="3:13" s="338" customFormat="1">
      <c r="C152" s="558"/>
      <c r="D152" s="559"/>
      <c r="E152" s="559"/>
      <c r="F152" s="559"/>
      <c r="G152" s="558"/>
      <c r="H152" s="559"/>
      <c r="I152" s="559"/>
      <c r="J152" s="559"/>
      <c r="K152" s="560"/>
      <c r="L152" s="560"/>
      <c r="M152" s="560"/>
    </row>
    <row r="153" spans="3:13" s="338" customFormat="1">
      <c r="C153" s="558"/>
      <c r="D153" s="559"/>
      <c r="E153" s="559"/>
      <c r="F153" s="559"/>
      <c r="G153" s="558"/>
      <c r="H153" s="559"/>
      <c r="I153" s="559"/>
      <c r="J153" s="559"/>
      <c r="K153" s="560"/>
      <c r="L153" s="560"/>
      <c r="M153" s="560"/>
    </row>
    <row r="154" spans="3:13" s="338" customFormat="1">
      <c r="C154" s="558"/>
      <c r="D154" s="559"/>
      <c r="E154" s="559"/>
      <c r="F154" s="559"/>
      <c r="G154" s="558"/>
      <c r="H154" s="559"/>
      <c r="I154" s="559"/>
      <c r="J154" s="559"/>
      <c r="K154" s="560"/>
      <c r="L154" s="560"/>
      <c r="M154" s="560"/>
    </row>
    <row r="155" spans="3:13" s="338" customFormat="1">
      <c r="C155" s="558"/>
      <c r="D155" s="559"/>
      <c r="E155" s="559"/>
      <c r="F155" s="559"/>
      <c r="G155" s="558"/>
      <c r="H155" s="559"/>
      <c r="I155" s="559"/>
      <c r="J155" s="559"/>
      <c r="K155" s="560"/>
      <c r="L155" s="560"/>
      <c r="M155" s="560"/>
    </row>
    <row r="156" spans="3:13" s="338" customFormat="1">
      <c r="C156" s="558"/>
      <c r="D156" s="559"/>
      <c r="E156" s="559"/>
      <c r="F156" s="559"/>
      <c r="G156" s="558"/>
      <c r="H156" s="559"/>
      <c r="I156" s="559"/>
      <c r="J156" s="559"/>
      <c r="K156" s="560"/>
      <c r="L156" s="560"/>
      <c r="M156" s="560"/>
    </row>
    <row r="157" spans="3:13" s="338" customFormat="1">
      <c r="C157" s="558"/>
      <c r="D157" s="559"/>
      <c r="E157" s="559"/>
      <c r="F157" s="559"/>
      <c r="G157" s="558"/>
      <c r="H157" s="559"/>
      <c r="I157" s="559"/>
      <c r="J157" s="559"/>
      <c r="K157" s="560"/>
      <c r="L157" s="560"/>
      <c r="M157" s="560"/>
    </row>
    <row r="158" spans="3:13" s="338" customFormat="1">
      <c r="C158" s="558"/>
      <c r="D158" s="559"/>
      <c r="E158" s="559"/>
      <c r="F158" s="559"/>
      <c r="G158" s="558"/>
      <c r="H158" s="559"/>
      <c r="I158" s="559"/>
      <c r="J158" s="559"/>
      <c r="K158" s="560"/>
      <c r="L158" s="560"/>
      <c r="M158" s="560"/>
    </row>
    <row r="159" spans="3:13" s="338" customFormat="1">
      <c r="C159" s="558"/>
      <c r="D159" s="559"/>
      <c r="E159" s="559"/>
      <c r="F159" s="559"/>
      <c r="G159" s="558"/>
      <c r="H159" s="559"/>
      <c r="I159" s="559"/>
      <c r="J159" s="559"/>
      <c r="K159" s="560"/>
      <c r="L159" s="560"/>
      <c r="M159" s="560"/>
    </row>
    <row r="160" spans="3:13" s="338" customFormat="1">
      <c r="C160" s="558"/>
      <c r="D160" s="559"/>
      <c r="E160" s="559"/>
      <c r="F160" s="559"/>
      <c r="G160" s="558"/>
      <c r="H160" s="559"/>
      <c r="I160" s="559"/>
      <c r="J160" s="559"/>
      <c r="K160" s="560"/>
      <c r="L160" s="560"/>
      <c r="M160" s="560"/>
    </row>
    <row r="161" spans="3:13" s="338" customFormat="1">
      <c r="C161" s="558"/>
      <c r="D161" s="559"/>
      <c r="E161" s="559"/>
      <c r="F161" s="559"/>
      <c r="G161" s="558"/>
      <c r="H161" s="559"/>
      <c r="I161" s="559"/>
      <c r="J161" s="559"/>
      <c r="K161" s="560"/>
      <c r="L161" s="560"/>
      <c r="M161" s="560"/>
    </row>
    <row r="162" spans="3:13" s="338" customFormat="1">
      <c r="C162" s="558"/>
      <c r="D162" s="559"/>
      <c r="E162" s="559"/>
      <c r="F162" s="559"/>
      <c r="G162" s="558"/>
      <c r="H162" s="559"/>
      <c r="I162" s="559"/>
      <c r="J162" s="559"/>
      <c r="K162" s="560"/>
      <c r="L162" s="560"/>
      <c r="M162" s="560"/>
    </row>
    <row r="163" spans="3:13" s="338" customFormat="1">
      <c r="C163" s="558"/>
      <c r="D163" s="559"/>
      <c r="E163" s="559"/>
      <c r="F163" s="559"/>
      <c r="G163" s="558"/>
      <c r="H163" s="559"/>
      <c r="I163" s="559"/>
      <c r="J163" s="559"/>
      <c r="K163" s="560"/>
      <c r="L163" s="560"/>
      <c r="M163" s="560"/>
    </row>
    <row r="164" spans="3:13" s="338" customFormat="1">
      <c r="C164" s="558"/>
      <c r="D164" s="559"/>
      <c r="E164" s="559"/>
      <c r="F164" s="559"/>
      <c r="G164" s="558"/>
      <c r="H164" s="559"/>
      <c r="I164" s="559"/>
      <c r="J164" s="559"/>
      <c r="K164" s="560"/>
      <c r="L164" s="560"/>
      <c r="M164" s="560"/>
    </row>
    <row r="165" spans="3:13" s="338" customFormat="1">
      <c r="C165" s="558"/>
      <c r="D165" s="559"/>
      <c r="E165" s="559"/>
      <c r="F165" s="559"/>
      <c r="G165" s="558"/>
      <c r="H165" s="559"/>
      <c r="I165" s="559"/>
      <c r="J165" s="559"/>
      <c r="K165" s="560"/>
      <c r="L165" s="560"/>
      <c r="M165" s="560"/>
    </row>
    <row r="166" spans="3:13" s="338" customFormat="1">
      <c r="C166" s="558"/>
      <c r="D166" s="559"/>
      <c r="E166" s="559"/>
      <c r="F166" s="559"/>
      <c r="G166" s="558"/>
      <c r="H166" s="559"/>
      <c r="I166" s="559"/>
      <c r="J166" s="559"/>
      <c r="K166" s="560"/>
      <c r="L166" s="560"/>
      <c r="M166" s="560"/>
    </row>
    <row r="167" spans="3:13" s="338" customFormat="1">
      <c r="C167" s="558"/>
      <c r="D167" s="559"/>
      <c r="E167" s="559"/>
      <c r="F167" s="559"/>
      <c r="G167" s="558"/>
      <c r="H167" s="559"/>
      <c r="I167" s="559"/>
      <c r="J167" s="559"/>
      <c r="K167" s="560"/>
      <c r="L167" s="560"/>
      <c r="M167" s="560"/>
    </row>
    <row r="168" spans="3:13" s="338" customFormat="1">
      <c r="C168" s="558"/>
      <c r="D168" s="559"/>
      <c r="E168" s="559"/>
      <c r="F168" s="559"/>
      <c r="G168" s="558"/>
      <c r="H168" s="559"/>
      <c r="I168" s="559"/>
      <c r="J168" s="559"/>
      <c r="K168" s="560"/>
      <c r="L168" s="560"/>
      <c r="M168" s="560"/>
    </row>
    <row r="169" spans="3:13" s="338" customFormat="1">
      <c r="C169" s="558"/>
      <c r="D169" s="559"/>
      <c r="E169" s="559"/>
      <c r="F169" s="559"/>
      <c r="G169" s="558"/>
      <c r="H169" s="559"/>
      <c r="I169" s="559"/>
      <c r="J169" s="559"/>
      <c r="K169" s="560"/>
      <c r="L169" s="560"/>
      <c r="M169" s="560"/>
    </row>
    <row r="170" spans="3:13" s="338" customFormat="1">
      <c r="C170" s="558"/>
      <c r="D170" s="559"/>
      <c r="E170" s="559"/>
      <c r="F170" s="559"/>
      <c r="G170" s="558"/>
      <c r="H170" s="559"/>
      <c r="I170" s="559"/>
      <c r="J170" s="559"/>
      <c r="K170" s="560"/>
      <c r="L170" s="560"/>
      <c r="M170" s="560"/>
    </row>
    <row r="171" spans="3:13" s="338" customFormat="1">
      <c r="C171" s="558"/>
      <c r="D171" s="559"/>
      <c r="E171" s="559"/>
      <c r="F171" s="559"/>
      <c r="G171" s="558"/>
      <c r="H171" s="559"/>
      <c r="I171" s="559"/>
      <c r="J171" s="559"/>
      <c r="K171" s="560"/>
      <c r="L171" s="560"/>
      <c r="M171" s="560"/>
    </row>
    <row r="172" spans="3:13" s="338" customFormat="1">
      <c r="C172" s="558"/>
      <c r="D172" s="559"/>
      <c r="E172" s="559"/>
      <c r="F172" s="559"/>
      <c r="G172" s="558"/>
      <c r="H172" s="559"/>
      <c r="I172" s="559"/>
      <c r="J172" s="559"/>
      <c r="K172" s="560"/>
      <c r="L172" s="560"/>
      <c r="M172" s="560"/>
    </row>
    <row r="173" spans="3:13" s="338" customFormat="1">
      <c r="C173" s="558"/>
      <c r="D173" s="559"/>
      <c r="E173" s="559"/>
      <c r="F173" s="559"/>
      <c r="G173" s="558"/>
      <c r="H173" s="559"/>
      <c r="I173" s="559"/>
      <c r="J173" s="559"/>
      <c r="K173" s="560"/>
      <c r="L173" s="560"/>
      <c r="M173" s="560"/>
    </row>
    <row r="174" spans="3:13" s="338" customFormat="1">
      <c r="C174" s="558"/>
      <c r="D174" s="559"/>
      <c r="E174" s="559"/>
      <c r="F174" s="559"/>
      <c r="G174" s="558"/>
      <c r="H174" s="559"/>
      <c r="I174" s="559"/>
      <c r="J174" s="559"/>
      <c r="K174" s="560"/>
      <c r="L174" s="560"/>
      <c r="M174" s="560"/>
    </row>
    <row r="175" spans="3:13" s="338" customFormat="1">
      <c r="C175" s="558"/>
      <c r="D175" s="559"/>
      <c r="E175" s="559"/>
      <c r="F175" s="559"/>
      <c r="G175" s="558"/>
      <c r="H175" s="559"/>
      <c r="I175" s="559"/>
      <c r="J175" s="559"/>
      <c r="K175" s="560"/>
      <c r="L175" s="560"/>
      <c r="M175" s="560"/>
    </row>
    <row r="176" spans="3:13" s="338" customFormat="1">
      <c r="C176" s="558"/>
      <c r="D176" s="559"/>
      <c r="E176" s="559"/>
      <c r="F176" s="559"/>
      <c r="G176" s="558"/>
      <c r="H176" s="559"/>
      <c r="I176" s="559"/>
      <c r="J176" s="559"/>
      <c r="K176" s="560"/>
      <c r="L176" s="560"/>
      <c r="M176" s="560"/>
    </row>
    <row r="177" spans="3:13" s="338" customFormat="1">
      <c r="C177" s="558"/>
      <c r="D177" s="559"/>
      <c r="E177" s="559"/>
      <c r="F177" s="559"/>
      <c r="G177" s="558"/>
      <c r="H177" s="559"/>
      <c r="I177" s="559"/>
      <c r="J177" s="559"/>
      <c r="K177" s="560"/>
      <c r="L177" s="560"/>
      <c r="M177" s="560"/>
    </row>
    <row r="178" spans="3:13" s="338" customFormat="1">
      <c r="C178" s="558"/>
      <c r="D178" s="559"/>
      <c r="E178" s="559"/>
      <c r="F178" s="559"/>
      <c r="G178" s="558"/>
      <c r="H178" s="559"/>
      <c r="I178" s="559"/>
      <c r="J178" s="559"/>
      <c r="K178" s="560"/>
      <c r="L178" s="560"/>
      <c r="M178" s="560"/>
    </row>
    <row r="179" spans="3:13" s="338" customFormat="1">
      <c r="C179" s="558"/>
      <c r="D179" s="559"/>
      <c r="E179" s="559"/>
      <c r="F179" s="559"/>
      <c r="G179" s="558"/>
      <c r="H179" s="559"/>
      <c r="I179" s="559"/>
      <c r="J179" s="559"/>
      <c r="K179" s="560"/>
      <c r="L179" s="560"/>
      <c r="M179" s="560"/>
    </row>
    <row r="180" spans="3:13" s="338" customFormat="1">
      <c r="C180" s="558"/>
      <c r="D180" s="559"/>
      <c r="E180" s="559"/>
      <c r="F180" s="559"/>
      <c r="G180" s="558"/>
      <c r="H180" s="559"/>
      <c r="I180" s="559"/>
      <c r="J180" s="559"/>
      <c r="K180" s="560"/>
      <c r="L180" s="560"/>
      <c r="M180" s="560"/>
    </row>
    <row r="181" spans="3:13" s="338" customFormat="1">
      <c r="C181" s="558"/>
      <c r="D181" s="559"/>
      <c r="E181" s="559"/>
      <c r="F181" s="559"/>
      <c r="G181" s="558"/>
      <c r="H181" s="559"/>
      <c r="I181" s="559"/>
      <c r="J181" s="559"/>
      <c r="K181" s="560"/>
      <c r="L181" s="560"/>
      <c r="M181" s="560"/>
    </row>
    <row r="182" spans="3:13" s="338" customFormat="1">
      <c r="C182" s="558"/>
      <c r="D182" s="559"/>
      <c r="E182" s="559"/>
      <c r="F182" s="559"/>
      <c r="G182" s="558"/>
      <c r="H182" s="559"/>
      <c r="I182" s="559"/>
      <c r="J182" s="559"/>
      <c r="K182" s="560"/>
      <c r="L182" s="560"/>
      <c r="M182" s="560"/>
    </row>
    <row r="183" spans="3:13" s="338" customFormat="1">
      <c r="C183" s="558"/>
      <c r="D183" s="559"/>
      <c r="E183" s="559"/>
      <c r="F183" s="559"/>
      <c r="G183" s="558"/>
      <c r="H183" s="559"/>
      <c r="I183" s="559"/>
      <c r="J183" s="559"/>
      <c r="K183" s="560"/>
      <c r="L183" s="560"/>
      <c r="M183" s="560"/>
    </row>
    <row r="184" spans="3:13" s="338" customFormat="1">
      <c r="C184" s="558"/>
      <c r="D184" s="559"/>
      <c r="E184" s="559"/>
      <c r="F184" s="559"/>
      <c r="G184" s="558"/>
      <c r="H184" s="559"/>
      <c r="I184" s="559"/>
      <c r="J184" s="559"/>
      <c r="K184" s="560"/>
      <c r="L184" s="560"/>
      <c r="M184" s="560"/>
    </row>
    <row r="185" spans="3:13" s="338" customFormat="1">
      <c r="C185" s="558"/>
      <c r="D185" s="559"/>
      <c r="E185" s="559"/>
      <c r="F185" s="559"/>
      <c r="G185" s="558"/>
      <c r="H185" s="559"/>
      <c r="I185" s="559"/>
      <c r="J185" s="559"/>
      <c r="K185" s="560"/>
      <c r="L185" s="560"/>
      <c r="M185" s="560"/>
    </row>
    <row r="186" spans="3:13" s="338" customFormat="1">
      <c r="C186" s="558"/>
      <c r="D186" s="559"/>
      <c r="E186" s="559"/>
      <c r="F186" s="559"/>
      <c r="G186" s="558"/>
      <c r="H186" s="559"/>
      <c r="I186" s="559"/>
      <c r="J186" s="559"/>
      <c r="K186" s="560"/>
      <c r="L186" s="560"/>
      <c r="M186" s="560"/>
    </row>
    <row r="187" spans="3:13" s="338" customFormat="1">
      <c r="C187" s="558"/>
      <c r="D187" s="559"/>
      <c r="E187" s="559"/>
      <c r="F187" s="559"/>
      <c r="G187" s="558"/>
      <c r="H187" s="559"/>
      <c r="I187" s="559"/>
      <c r="J187" s="559"/>
      <c r="K187" s="560"/>
      <c r="L187" s="560"/>
      <c r="M187" s="560"/>
    </row>
    <row r="188" spans="3:13" s="338" customFormat="1">
      <c r="C188" s="558"/>
      <c r="D188" s="559"/>
      <c r="E188" s="559"/>
      <c r="F188" s="559"/>
      <c r="G188" s="558"/>
      <c r="H188" s="559"/>
      <c r="I188" s="559"/>
      <c r="J188" s="559"/>
      <c r="K188" s="560"/>
      <c r="L188" s="560"/>
      <c r="M188" s="560"/>
    </row>
    <row r="189" spans="3:13" s="338" customFormat="1">
      <c r="C189" s="558"/>
      <c r="D189" s="559"/>
      <c r="E189" s="559"/>
      <c r="F189" s="559"/>
      <c r="G189" s="558"/>
      <c r="H189" s="559"/>
      <c r="I189" s="559"/>
      <c r="J189" s="559"/>
      <c r="K189" s="560"/>
      <c r="L189" s="560"/>
      <c r="M189" s="560"/>
    </row>
    <row r="190" spans="3:13" s="338" customFormat="1">
      <c r="C190" s="558"/>
      <c r="D190" s="559"/>
      <c r="E190" s="559"/>
      <c r="F190" s="559"/>
      <c r="G190" s="558"/>
      <c r="H190" s="559"/>
      <c r="I190" s="559"/>
      <c r="J190" s="559"/>
      <c r="K190" s="560"/>
      <c r="L190" s="560"/>
      <c r="M190" s="560"/>
    </row>
    <row r="191" spans="3:13" s="338" customFormat="1">
      <c r="C191" s="558"/>
      <c r="D191" s="559"/>
      <c r="E191" s="559"/>
      <c r="F191" s="559"/>
      <c r="G191" s="558"/>
      <c r="H191" s="559"/>
      <c r="I191" s="559"/>
      <c r="J191" s="559"/>
      <c r="K191" s="560"/>
      <c r="L191" s="560"/>
      <c r="M191" s="560"/>
    </row>
    <row r="192" spans="3:13" s="338" customFormat="1">
      <c r="C192" s="558"/>
      <c r="D192" s="559"/>
      <c r="E192" s="559"/>
      <c r="F192" s="559"/>
      <c r="G192" s="558"/>
      <c r="H192" s="559"/>
      <c r="I192" s="559"/>
      <c r="J192" s="559"/>
      <c r="K192" s="560"/>
      <c r="L192" s="560"/>
      <c r="M192" s="560"/>
    </row>
    <row r="193" spans="3:13" s="338" customFormat="1">
      <c r="C193" s="558"/>
      <c r="D193" s="559"/>
      <c r="E193" s="559"/>
      <c r="F193" s="559"/>
      <c r="G193" s="558"/>
      <c r="H193" s="559"/>
      <c r="I193" s="559"/>
      <c r="J193" s="559"/>
      <c r="K193" s="560"/>
      <c r="L193" s="560"/>
      <c r="M193" s="560"/>
    </row>
    <row r="194" spans="3:13" s="338" customFormat="1">
      <c r="C194" s="558"/>
      <c r="D194" s="559"/>
      <c r="E194" s="559"/>
      <c r="F194" s="559"/>
      <c r="G194" s="558"/>
      <c r="H194" s="559"/>
      <c r="I194" s="559"/>
      <c r="J194" s="559"/>
      <c r="K194" s="560"/>
      <c r="L194" s="560"/>
      <c r="M194" s="560"/>
    </row>
    <row r="195" spans="3:13" s="338" customFormat="1">
      <c r="C195" s="558"/>
      <c r="D195" s="559"/>
      <c r="E195" s="559"/>
      <c r="F195" s="559"/>
      <c r="G195" s="558"/>
      <c r="H195" s="559"/>
      <c r="I195" s="559"/>
      <c r="J195" s="559"/>
      <c r="K195" s="560"/>
      <c r="L195" s="560"/>
      <c r="M195" s="560"/>
    </row>
    <row r="196" spans="3:13" s="338" customFormat="1">
      <c r="C196" s="558"/>
      <c r="D196" s="559"/>
      <c r="E196" s="559"/>
      <c r="F196" s="559"/>
      <c r="G196" s="558"/>
      <c r="H196" s="559"/>
      <c r="I196" s="559"/>
      <c r="J196" s="559"/>
      <c r="K196" s="560"/>
      <c r="L196" s="560"/>
      <c r="M196" s="560"/>
    </row>
    <row r="197" spans="3:13" s="338" customFormat="1">
      <c r="C197" s="558"/>
      <c r="D197" s="559"/>
      <c r="E197" s="559"/>
      <c r="F197" s="559"/>
      <c r="G197" s="558"/>
      <c r="H197" s="559"/>
      <c r="I197" s="559"/>
      <c r="J197" s="559"/>
      <c r="K197" s="560"/>
      <c r="L197" s="560"/>
      <c r="M197" s="560"/>
    </row>
    <row r="198" spans="3:13" s="338" customFormat="1">
      <c r="C198" s="558"/>
      <c r="D198" s="559"/>
      <c r="E198" s="559"/>
      <c r="F198" s="559"/>
      <c r="G198" s="558"/>
      <c r="H198" s="559"/>
      <c r="I198" s="559"/>
      <c r="J198" s="559"/>
      <c r="K198" s="560"/>
      <c r="L198" s="560"/>
      <c r="M198" s="560"/>
    </row>
    <row r="199" spans="3:13" s="338" customFormat="1">
      <c r="C199" s="558"/>
      <c r="D199" s="559"/>
      <c r="E199" s="559"/>
      <c r="F199" s="559"/>
      <c r="G199" s="558"/>
      <c r="H199" s="559"/>
      <c r="I199" s="559"/>
      <c r="J199" s="559"/>
      <c r="K199" s="560"/>
      <c r="L199" s="560"/>
      <c r="M199" s="560"/>
    </row>
    <row r="200" spans="3:13" s="338" customFormat="1">
      <c r="C200" s="558"/>
      <c r="D200" s="559"/>
      <c r="E200" s="559"/>
      <c r="F200" s="559"/>
      <c r="G200" s="558"/>
      <c r="H200" s="559"/>
      <c r="I200" s="559"/>
      <c r="J200" s="559"/>
      <c r="K200" s="560"/>
      <c r="L200" s="560"/>
      <c r="M200" s="560"/>
    </row>
    <row r="201" spans="3:13" s="338" customFormat="1">
      <c r="C201" s="558"/>
      <c r="D201" s="559"/>
      <c r="E201" s="559"/>
      <c r="F201" s="559"/>
      <c r="G201" s="558"/>
      <c r="H201" s="559"/>
      <c r="I201" s="559"/>
      <c r="J201" s="559"/>
      <c r="K201" s="560"/>
      <c r="L201" s="560"/>
      <c r="M201" s="560"/>
    </row>
    <row r="202" spans="3:13" s="338" customFormat="1">
      <c r="C202" s="558"/>
      <c r="D202" s="559"/>
      <c r="E202" s="559"/>
      <c r="F202" s="559"/>
      <c r="G202" s="558"/>
      <c r="H202" s="559"/>
      <c r="I202" s="559"/>
      <c r="J202" s="559"/>
      <c r="K202" s="560"/>
      <c r="L202" s="560"/>
      <c r="M202" s="560"/>
    </row>
    <row r="203" spans="3:13" s="338" customFormat="1">
      <c r="C203" s="558"/>
      <c r="D203" s="559"/>
      <c r="E203" s="559"/>
      <c r="F203" s="559"/>
      <c r="G203" s="558"/>
      <c r="H203" s="559"/>
      <c r="I203" s="559"/>
      <c r="J203" s="559"/>
      <c r="K203" s="560"/>
      <c r="L203" s="560"/>
      <c r="M203" s="560"/>
    </row>
    <row r="204" spans="3:13" s="338" customFormat="1">
      <c r="C204" s="558"/>
      <c r="D204" s="559"/>
      <c r="E204" s="559"/>
      <c r="F204" s="559"/>
      <c r="G204" s="558"/>
      <c r="H204" s="559"/>
      <c r="I204" s="559"/>
      <c r="J204" s="559"/>
      <c r="K204" s="560"/>
      <c r="L204" s="560"/>
      <c r="M204" s="560"/>
    </row>
    <row r="205" spans="3:13" s="338" customFormat="1">
      <c r="C205" s="558"/>
      <c r="D205" s="559"/>
      <c r="E205" s="559"/>
      <c r="F205" s="559"/>
      <c r="G205" s="558"/>
      <c r="H205" s="559"/>
      <c r="I205" s="559"/>
      <c r="J205" s="559"/>
      <c r="K205" s="560"/>
      <c r="L205" s="560"/>
      <c r="M205" s="560"/>
    </row>
    <row r="206" spans="3:13" s="338" customFormat="1">
      <c r="C206" s="558"/>
      <c r="D206" s="559"/>
      <c r="E206" s="559"/>
      <c r="F206" s="559"/>
      <c r="G206" s="558"/>
      <c r="H206" s="559"/>
      <c r="I206" s="559"/>
      <c r="J206" s="559"/>
      <c r="K206" s="560"/>
      <c r="L206" s="560"/>
      <c r="M206" s="560"/>
    </row>
    <row r="207" spans="3:13" s="338" customFormat="1">
      <c r="C207" s="558"/>
      <c r="D207" s="559"/>
      <c r="E207" s="559"/>
      <c r="F207" s="559"/>
      <c r="G207" s="558"/>
      <c r="H207" s="559"/>
      <c r="I207" s="559"/>
      <c r="J207" s="559"/>
      <c r="K207" s="560"/>
      <c r="L207" s="560"/>
      <c r="M207" s="560"/>
    </row>
    <row r="208" spans="3:13" s="338" customFormat="1">
      <c r="C208" s="558"/>
      <c r="D208" s="559"/>
      <c r="E208" s="559"/>
      <c r="F208" s="559"/>
      <c r="G208" s="558"/>
      <c r="H208" s="559"/>
      <c r="I208" s="559"/>
      <c r="J208" s="559"/>
      <c r="K208" s="560"/>
      <c r="L208" s="560"/>
      <c r="M208" s="560"/>
    </row>
    <row r="209" spans="3:13" s="338" customFormat="1">
      <c r="C209" s="558"/>
      <c r="D209" s="559"/>
      <c r="E209" s="559"/>
      <c r="F209" s="559"/>
      <c r="G209" s="558"/>
      <c r="H209" s="559"/>
      <c r="I209" s="559"/>
      <c r="J209" s="559"/>
      <c r="K209" s="560"/>
      <c r="L209" s="560"/>
      <c r="M209" s="560"/>
    </row>
    <row r="210" spans="3:13" s="338" customFormat="1">
      <c r="C210" s="558"/>
      <c r="D210" s="559"/>
      <c r="E210" s="559"/>
      <c r="F210" s="559"/>
      <c r="G210" s="558"/>
      <c r="H210" s="559"/>
      <c r="I210" s="559"/>
      <c r="J210" s="559"/>
      <c r="K210" s="560"/>
      <c r="L210" s="560"/>
      <c r="M210" s="560"/>
    </row>
    <row r="211" spans="3:13" s="338" customFormat="1">
      <c r="C211" s="558"/>
      <c r="D211" s="559"/>
      <c r="E211" s="559"/>
      <c r="F211" s="559"/>
      <c r="G211" s="558"/>
      <c r="H211" s="559"/>
      <c r="I211" s="559"/>
      <c r="J211" s="559"/>
      <c r="K211" s="560"/>
      <c r="L211" s="560"/>
      <c r="M211" s="560"/>
    </row>
    <row r="212" spans="3:13" s="338" customFormat="1">
      <c r="C212" s="558"/>
      <c r="D212" s="559"/>
      <c r="E212" s="559"/>
      <c r="F212" s="559"/>
      <c r="G212" s="558"/>
      <c r="H212" s="559"/>
      <c r="I212" s="559"/>
      <c r="J212" s="559"/>
      <c r="K212" s="560"/>
      <c r="L212" s="560"/>
      <c r="M212" s="560"/>
    </row>
    <row r="213" spans="3:13" s="338" customFormat="1">
      <c r="C213" s="558"/>
      <c r="D213" s="559"/>
      <c r="E213" s="559"/>
      <c r="F213" s="559"/>
      <c r="G213" s="558"/>
      <c r="H213" s="559"/>
      <c r="I213" s="559"/>
      <c r="J213" s="559"/>
      <c r="K213" s="560"/>
      <c r="L213" s="560"/>
      <c r="M213" s="560"/>
    </row>
    <row r="214" spans="3:13" s="338" customFormat="1">
      <c r="C214" s="558"/>
      <c r="D214" s="559"/>
      <c r="E214" s="559"/>
      <c r="F214" s="559"/>
      <c r="G214" s="558"/>
      <c r="H214" s="559"/>
      <c r="I214" s="559"/>
      <c r="J214" s="559"/>
      <c r="K214" s="560"/>
      <c r="L214" s="560"/>
      <c r="M214" s="560"/>
    </row>
    <row r="215" spans="3:13" s="338" customFormat="1">
      <c r="C215" s="558"/>
      <c r="D215" s="559"/>
      <c r="E215" s="559"/>
      <c r="F215" s="559"/>
      <c r="G215" s="558"/>
      <c r="H215" s="559"/>
      <c r="I215" s="559"/>
      <c r="J215" s="559"/>
      <c r="K215" s="560"/>
      <c r="L215" s="560"/>
      <c r="M215" s="560"/>
    </row>
    <row r="216" spans="3:13" s="338" customFormat="1">
      <c r="C216" s="558"/>
      <c r="D216" s="559"/>
      <c r="E216" s="559"/>
      <c r="F216" s="559"/>
      <c r="G216" s="558"/>
      <c r="H216" s="559"/>
      <c r="I216" s="559"/>
      <c r="J216" s="559"/>
      <c r="K216" s="560"/>
      <c r="L216" s="560"/>
      <c r="M216" s="560"/>
    </row>
    <row r="217" spans="3:13" s="338" customFormat="1">
      <c r="C217" s="558"/>
      <c r="D217" s="559"/>
      <c r="E217" s="559"/>
      <c r="F217" s="559"/>
      <c r="G217" s="558"/>
      <c r="H217" s="559"/>
      <c r="I217" s="559"/>
      <c r="J217" s="559"/>
      <c r="K217" s="560"/>
      <c r="L217" s="560"/>
      <c r="M217" s="560"/>
    </row>
    <row r="218" spans="3:13" s="338" customFormat="1">
      <c r="C218" s="558"/>
      <c r="D218" s="559"/>
      <c r="E218" s="559"/>
      <c r="F218" s="559"/>
      <c r="G218" s="558"/>
      <c r="H218" s="559"/>
      <c r="I218" s="559"/>
      <c r="J218" s="559"/>
      <c r="K218" s="560"/>
      <c r="L218" s="560"/>
      <c r="M218" s="560"/>
    </row>
    <row r="219" spans="3:13" s="338" customFormat="1">
      <c r="C219" s="558"/>
      <c r="D219" s="559"/>
      <c r="E219" s="559"/>
      <c r="F219" s="559"/>
      <c r="G219" s="558"/>
      <c r="H219" s="559"/>
      <c r="I219" s="559"/>
      <c r="J219" s="559"/>
      <c r="K219" s="560"/>
      <c r="L219" s="560"/>
      <c r="M219" s="560"/>
    </row>
    <row r="220" spans="3:13" s="338" customFormat="1">
      <c r="C220" s="558"/>
      <c r="D220" s="559"/>
      <c r="E220" s="559"/>
      <c r="F220" s="559"/>
      <c r="G220" s="558"/>
      <c r="H220" s="559"/>
      <c r="I220" s="559"/>
      <c r="J220" s="559"/>
      <c r="K220" s="560"/>
      <c r="L220" s="560"/>
      <c r="M220" s="560"/>
    </row>
    <row r="221" spans="3:13" s="338" customFormat="1">
      <c r="C221" s="558"/>
      <c r="D221" s="559"/>
      <c r="E221" s="559"/>
      <c r="F221" s="559"/>
      <c r="G221" s="558"/>
      <c r="H221" s="559"/>
      <c r="I221" s="559"/>
      <c r="J221" s="559"/>
      <c r="K221" s="560"/>
      <c r="L221" s="560"/>
      <c r="M221" s="560"/>
    </row>
    <row r="222" spans="3:13" s="338" customFormat="1">
      <c r="C222" s="558"/>
      <c r="D222" s="559"/>
      <c r="E222" s="559"/>
      <c r="F222" s="559"/>
      <c r="G222" s="558"/>
      <c r="H222" s="559"/>
      <c r="I222" s="559"/>
      <c r="J222" s="559"/>
      <c r="K222" s="560"/>
      <c r="L222" s="560"/>
      <c r="M222" s="560"/>
    </row>
    <row r="223" spans="3:13" s="338" customFormat="1">
      <c r="C223" s="558"/>
      <c r="D223" s="559"/>
      <c r="E223" s="559"/>
      <c r="F223" s="559"/>
      <c r="G223" s="558"/>
      <c r="H223" s="559"/>
      <c r="I223" s="559"/>
      <c r="J223" s="559"/>
      <c r="K223" s="560"/>
      <c r="L223" s="560"/>
      <c r="M223" s="560"/>
    </row>
    <row r="224" spans="3:13" s="338" customFormat="1">
      <c r="C224" s="558"/>
      <c r="D224" s="559"/>
      <c r="E224" s="559"/>
      <c r="F224" s="559"/>
      <c r="G224" s="558"/>
      <c r="H224" s="559"/>
      <c r="I224" s="559"/>
      <c r="J224" s="559"/>
      <c r="K224" s="560"/>
      <c r="L224" s="560"/>
      <c r="M224" s="560"/>
    </row>
    <row r="225" spans="3:13" s="338" customFormat="1">
      <c r="C225" s="558"/>
      <c r="D225" s="559"/>
      <c r="E225" s="559"/>
      <c r="F225" s="559"/>
      <c r="G225" s="558"/>
      <c r="H225" s="559"/>
      <c r="I225" s="559"/>
      <c r="J225" s="559"/>
      <c r="K225" s="560"/>
      <c r="L225" s="560"/>
      <c r="M225" s="560"/>
    </row>
    <row r="226" spans="3:13" s="338" customFormat="1">
      <c r="C226" s="558"/>
      <c r="D226" s="559"/>
      <c r="E226" s="559"/>
      <c r="F226" s="559"/>
      <c r="G226" s="558"/>
      <c r="H226" s="559"/>
      <c r="I226" s="559"/>
      <c r="J226" s="559"/>
      <c r="K226" s="560"/>
      <c r="L226" s="560"/>
      <c r="M226" s="560"/>
    </row>
    <row r="227" spans="3:13" s="338" customFormat="1">
      <c r="C227" s="558"/>
      <c r="D227" s="559"/>
      <c r="E227" s="559"/>
      <c r="F227" s="559"/>
      <c r="G227" s="558"/>
      <c r="H227" s="559"/>
      <c r="I227" s="559"/>
      <c r="J227" s="559"/>
      <c r="K227" s="560"/>
      <c r="L227" s="560"/>
      <c r="M227" s="560"/>
    </row>
    <row r="228" spans="3:13" s="338" customFormat="1">
      <c r="C228" s="558"/>
      <c r="D228" s="559"/>
      <c r="E228" s="559"/>
      <c r="F228" s="559"/>
      <c r="G228" s="558"/>
      <c r="H228" s="559"/>
      <c r="I228" s="559"/>
      <c r="J228" s="559"/>
      <c r="K228" s="560"/>
      <c r="L228" s="560"/>
      <c r="M228" s="560"/>
    </row>
    <row r="229" spans="3:13" s="338" customFormat="1">
      <c r="C229" s="558"/>
      <c r="D229" s="559"/>
      <c r="E229" s="559"/>
      <c r="F229" s="559"/>
      <c r="G229" s="558"/>
      <c r="H229" s="559"/>
      <c r="I229" s="559"/>
      <c r="J229" s="559"/>
      <c r="K229" s="560"/>
      <c r="L229" s="560"/>
      <c r="M229" s="560"/>
    </row>
    <row r="230" spans="3:13" s="338" customFormat="1">
      <c r="C230" s="558"/>
      <c r="D230" s="559"/>
      <c r="E230" s="559"/>
      <c r="F230" s="559"/>
      <c r="G230" s="558"/>
      <c r="H230" s="559"/>
      <c r="I230" s="559"/>
      <c r="J230" s="559"/>
      <c r="K230" s="560"/>
      <c r="L230" s="560"/>
      <c r="M230" s="560"/>
    </row>
    <row r="231" spans="3:13" s="338" customFormat="1">
      <c r="C231" s="558"/>
      <c r="D231" s="559"/>
      <c r="E231" s="559"/>
      <c r="F231" s="559"/>
      <c r="G231" s="558"/>
      <c r="H231" s="559"/>
      <c r="I231" s="559"/>
      <c r="J231" s="559"/>
      <c r="K231" s="560"/>
      <c r="L231" s="560"/>
      <c r="M231" s="560"/>
    </row>
    <row r="232" spans="3:13" s="338" customFormat="1">
      <c r="C232" s="558"/>
      <c r="D232" s="559"/>
      <c r="E232" s="559"/>
      <c r="F232" s="559"/>
      <c r="G232" s="558"/>
      <c r="H232" s="559"/>
      <c r="I232" s="559"/>
      <c r="J232" s="559"/>
      <c r="K232" s="560"/>
      <c r="L232" s="560"/>
      <c r="M232" s="560"/>
    </row>
    <row r="233" spans="3:13" s="338" customFormat="1">
      <c r="C233" s="558"/>
      <c r="D233" s="559"/>
      <c r="E233" s="559"/>
      <c r="F233" s="559"/>
      <c r="G233" s="558"/>
      <c r="H233" s="559"/>
      <c r="I233" s="559"/>
      <c r="J233" s="559"/>
      <c r="K233" s="560"/>
      <c r="L233" s="560"/>
      <c r="M233" s="560"/>
    </row>
    <row r="234" spans="3:13" s="338" customFormat="1">
      <c r="C234" s="558"/>
      <c r="D234" s="559"/>
      <c r="E234" s="559"/>
      <c r="F234" s="559"/>
      <c r="G234" s="558"/>
      <c r="H234" s="559"/>
      <c r="I234" s="559"/>
      <c r="J234" s="559"/>
      <c r="K234" s="560"/>
      <c r="L234" s="560"/>
      <c r="M234" s="560"/>
    </row>
    <row r="235" spans="3:13" s="338" customFormat="1">
      <c r="C235" s="558"/>
      <c r="D235" s="559"/>
      <c r="E235" s="559"/>
      <c r="F235" s="559"/>
      <c r="G235" s="558"/>
      <c r="H235" s="559"/>
      <c r="I235" s="559"/>
      <c r="J235" s="559"/>
      <c r="K235" s="560"/>
      <c r="L235" s="560"/>
      <c r="M235" s="560"/>
    </row>
    <row r="236" spans="3:13" s="338" customFormat="1">
      <c r="C236" s="558"/>
      <c r="D236" s="559"/>
      <c r="E236" s="559"/>
      <c r="F236" s="559"/>
      <c r="G236" s="558"/>
      <c r="H236" s="559"/>
      <c r="I236" s="559"/>
      <c r="J236" s="559"/>
      <c r="K236" s="560"/>
      <c r="L236" s="560"/>
      <c r="M236" s="560"/>
    </row>
    <row r="237" spans="3:13" s="338" customFormat="1">
      <c r="C237" s="558"/>
      <c r="D237" s="559"/>
      <c r="E237" s="559"/>
      <c r="F237" s="559"/>
      <c r="G237" s="558"/>
      <c r="H237" s="559"/>
      <c r="I237" s="559"/>
      <c r="J237" s="559"/>
      <c r="K237" s="560"/>
      <c r="L237" s="560"/>
      <c r="M237" s="560"/>
    </row>
    <row r="238" spans="3:13" s="338" customFormat="1">
      <c r="C238" s="558"/>
      <c r="D238" s="559"/>
      <c r="E238" s="559"/>
      <c r="F238" s="559"/>
      <c r="G238" s="558"/>
      <c r="H238" s="559"/>
      <c r="I238" s="559"/>
      <c r="J238" s="559"/>
      <c r="K238" s="560"/>
      <c r="L238" s="560"/>
      <c r="M238" s="560"/>
    </row>
    <row r="239" spans="3:13" s="338" customFormat="1">
      <c r="C239" s="558"/>
      <c r="D239" s="559"/>
      <c r="E239" s="559"/>
      <c r="F239" s="559"/>
      <c r="G239" s="558"/>
      <c r="H239" s="559"/>
      <c r="I239" s="559"/>
      <c r="J239" s="559"/>
      <c r="K239" s="560"/>
      <c r="L239" s="560"/>
      <c r="M239" s="560"/>
    </row>
    <row r="240" spans="3:13" s="338" customFormat="1">
      <c r="C240" s="558"/>
      <c r="D240" s="559"/>
      <c r="E240" s="559"/>
      <c r="F240" s="559"/>
      <c r="G240" s="558"/>
      <c r="H240" s="559"/>
      <c r="I240" s="559"/>
      <c r="J240" s="559"/>
      <c r="K240" s="560"/>
      <c r="L240" s="560"/>
      <c r="M240" s="560"/>
    </row>
    <row r="241" spans="3:13" s="338" customFormat="1">
      <c r="C241" s="558"/>
      <c r="D241" s="559"/>
      <c r="E241" s="559"/>
      <c r="F241" s="559"/>
      <c r="G241" s="558"/>
      <c r="H241" s="559"/>
      <c r="I241" s="559"/>
      <c r="J241" s="559"/>
      <c r="K241" s="560"/>
      <c r="L241" s="560"/>
      <c r="M241" s="560"/>
    </row>
    <row r="242" spans="3:13" s="338" customFormat="1">
      <c r="C242" s="558"/>
      <c r="D242" s="559"/>
      <c r="E242" s="559"/>
      <c r="F242" s="559"/>
      <c r="G242" s="558"/>
      <c r="H242" s="559"/>
      <c r="I242" s="559"/>
      <c r="J242" s="559"/>
      <c r="K242" s="560"/>
      <c r="L242" s="560"/>
      <c r="M242" s="560"/>
    </row>
    <row r="243" spans="3:13" s="338" customFormat="1">
      <c r="C243" s="558"/>
      <c r="D243" s="559"/>
      <c r="E243" s="559"/>
      <c r="F243" s="559"/>
      <c r="G243" s="558"/>
      <c r="H243" s="559"/>
      <c r="I243" s="559"/>
      <c r="J243" s="559"/>
      <c r="K243" s="560"/>
      <c r="L243" s="560"/>
      <c r="M243" s="560"/>
    </row>
    <row r="244" spans="3:13" s="338" customFormat="1">
      <c r="C244" s="558"/>
      <c r="D244" s="559"/>
      <c r="E244" s="559"/>
      <c r="F244" s="559"/>
      <c r="G244" s="558"/>
      <c r="H244" s="559"/>
      <c r="I244" s="559"/>
      <c r="J244" s="559"/>
      <c r="K244" s="560"/>
      <c r="L244" s="560"/>
      <c r="M244" s="560"/>
    </row>
    <row r="245" spans="3:13" s="338" customFormat="1">
      <c r="C245" s="558"/>
      <c r="D245" s="559"/>
      <c r="E245" s="559"/>
      <c r="F245" s="559"/>
      <c r="G245" s="558"/>
      <c r="H245" s="559"/>
      <c r="I245" s="559"/>
      <c r="J245" s="559"/>
      <c r="K245" s="560"/>
      <c r="L245" s="560"/>
      <c r="M245" s="560"/>
    </row>
    <row r="246" spans="3:13" s="338" customFormat="1">
      <c r="C246" s="558"/>
      <c r="D246" s="559"/>
      <c r="E246" s="559"/>
      <c r="F246" s="559"/>
      <c r="G246" s="558"/>
      <c r="H246" s="559"/>
      <c r="I246" s="559"/>
      <c r="J246" s="559"/>
      <c r="K246" s="560"/>
      <c r="L246" s="560"/>
      <c r="M246" s="560"/>
    </row>
    <row r="247" spans="3:13" s="338" customFormat="1">
      <c r="C247" s="558"/>
      <c r="D247" s="559"/>
      <c r="E247" s="559"/>
      <c r="F247" s="559"/>
      <c r="G247" s="558"/>
      <c r="H247" s="559"/>
      <c r="I247" s="559"/>
      <c r="J247" s="559"/>
      <c r="K247" s="560"/>
      <c r="L247" s="560"/>
      <c r="M247" s="560"/>
    </row>
    <row r="248" spans="3:13" s="338" customFormat="1">
      <c r="C248" s="558"/>
      <c r="D248" s="559"/>
      <c r="E248" s="559"/>
      <c r="F248" s="559"/>
      <c r="G248" s="558"/>
      <c r="H248" s="559"/>
      <c r="I248" s="559"/>
      <c r="J248" s="559"/>
      <c r="K248" s="560"/>
      <c r="L248" s="560"/>
      <c r="M248" s="560"/>
    </row>
    <row r="249" spans="3:13" s="338" customFormat="1">
      <c r="C249" s="558"/>
      <c r="D249" s="559"/>
      <c r="E249" s="559"/>
      <c r="F249" s="559"/>
      <c r="G249" s="558"/>
      <c r="H249" s="559"/>
      <c r="I249" s="559"/>
      <c r="J249" s="559"/>
      <c r="K249" s="560"/>
      <c r="L249" s="560"/>
      <c r="M249" s="560"/>
    </row>
    <row r="250" spans="3:13" s="338" customFormat="1">
      <c r="C250" s="558"/>
      <c r="D250" s="559"/>
      <c r="E250" s="559"/>
      <c r="F250" s="559"/>
      <c r="G250" s="558"/>
      <c r="H250" s="559"/>
      <c r="I250" s="559"/>
      <c r="J250" s="559"/>
      <c r="K250" s="560"/>
      <c r="L250" s="560"/>
      <c r="M250" s="560"/>
    </row>
    <row r="251" spans="3:13" s="338" customFormat="1">
      <c r="C251" s="558"/>
      <c r="D251" s="559"/>
      <c r="E251" s="559"/>
      <c r="F251" s="559"/>
      <c r="G251" s="558"/>
      <c r="H251" s="559"/>
      <c r="I251" s="559"/>
      <c r="J251" s="559"/>
      <c r="K251" s="560"/>
      <c r="L251" s="560"/>
      <c r="M251" s="560"/>
    </row>
    <row r="252" spans="3:13" s="338" customFormat="1">
      <c r="C252" s="558"/>
      <c r="D252" s="559"/>
      <c r="E252" s="559"/>
      <c r="F252" s="559"/>
      <c r="G252" s="558"/>
      <c r="H252" s="559"/>
      <c r="I252" s="559"/>
      <c r="J252" s="559"/>
      <c r="K252" s="560"/>
      <c r="L252" s="560"/>
      <c r="M252" s="560"/>
    </row>
    <row r="253" spans="3:13" s="338" customFormat="1">
      <c r="C253" s="558"/>
      <c r="D253" s="559"/>
      <c r="E253" s="559"/>
      <c r="F253" s="559"/>
      <c r="G253" s="558"/>
      <c r="H253" s="559"/>
      <c r="I253" s="559"/>
      <c r="J253" s="559"/>
      <c r="K253" s="560"/>
      <c r="L253" s="560"/>
      <c r="M253" s="560"/>
    </row>
    <row r="254" spans="3:13" s="338" customFormat="1">
      <c r="C254" s="558"/>
      <c r="D254" s="559"/>
      <c r="E254" s="559"/>
      <c r="F254" s="559"/>
      <c r="G254" s="558"/>
      <c r="H254" s="559"/>
      <c r="I254" s="559"/>
      <c r="J254" s="559"/>
      <c r="K254" s="560"/>
      <c r="L254" s="560"/>
      <c r="M254" s="560"/>
    </row>
    <row r="255" spans="3:13" s="338" customFormat="1">
      <c r="C255" s="558"/>
      <c r="D255" s="559"/>
      <c r="E255" s="559"/>
      <c r="F255" s="559"/>
      <c r="G255" s="558"/>
      <c r="H255" s="559"/>
      <c r="I255" s="559"/>
      <c r="J255" s="559"/>
      <c r="K255" s="560"/>
      <c r="L255" s="560"/>
      <c r="M255" s="560"/>
    </row>
    <row r="256" spans="3:13" s="338" customFormat="1">
      <c r="C256" s="558"/>
      <c r="D256" s="559"/>
      <c r="E256" s="559"/>
      <c r="F256" s="559"/>
      <c r="G256" s="558"/>
      <c r="H256" s="559"/>
      <c r="I256" s="559"/>
      <c r="J256" s="559"/>
      <c r="K256" s="560"/>
      <c r="L256" s="560"/>
      <c r="M256" s="560"/>
    </row>
    <row r="257" spans="3:13" s="338" customFormat="1">
      <c r="C257" s="558"/>
      <c r="D257" s="559"/>
      <c r="E257" s="559"/>
      <c r="F257" s="559"/>
      <c r="G257" s="558"/>
      <c r="H257" s="559"/>
      <c r="I257" s="559"/>
      <c r="J257" s="559"/>
      <c r="K257" s="560"/>
      <c r="L257" s="560"/>
      <c r="M257" s="560"/>
    </row>
    <row r="258" spans="3:13" s="338" customFormat="1">
      <c r="C258" s="558"/>
      <c r="D258" s="559"/>
      <c r="E258" s="559"/>
      <c r="F258" s="559"/>
      <c r="G258" s="558"/>
      <c r="H258" s="559"/>
      <c r="I258" s="559"/>
      <c r="J258" s="559"/>
      <c r="K258" s="560"/>
      <c r="L258" s="560"/>
      <c r="M258" s="560"/>
    </row>
    <row r="259" spans="3:13" s="338" customFormat="1">
      <c r="C259" s="558"/>
      <c r="D259" s="559"/>
      <c r="E259" s="559"/>
      <c r="F259" s="559"/>
      <c r="G259" s="558"/>
      <c r="H259" s="559"/>
      <c r="I259" s="559"/>
      <c r="J259" s="559"/>
      <c r="K259" s="560"/>
      <c r="L259" s="560"/>
      <c r="M259" s="560"/>
    </row>
    <row r="260" spans="3:13" s="338" customFormat="1">
      <c r="C260" s="558"/>
      <c r="D260" s="559"/>
      <c r="E260" s="559"/>
      <c r="F260" s="559"/>
      <c r="G260" s="558"/>
      <c r="H260" s="559"/>
      <c r="I260" s="559"/>
      <c r="J260" s="559"/>
      <c r="K260" s="560"/>
      <c r="L260" s="560"/>
      <c r="M260" s="560"/>
    </row>
    <row r="261" spans="3:13" s="338" customFormat="1">
      <c r="C261" s="558"/>
      <c r="D261" s="559"/>
      <c r="E261" s="559"/>
      <c r="F261" s="559"/>
      <c r="G261" s="558"/>
      <c r="H261" s="559"/>
      <c r="I261" s="559"/>
      <c r="J261" s="559"/>
      <c r="K261" s="560"/>
      <c r="L261" s="560"/>
      <c r="M261" s="560"/>
    </row>
    <row r="262" spans="3:13" s="338" customFormat="1">
      <c r="C262" s="558"/>
      <c r="D262" s="559"/>
      <c r="E262" s="559"/>
      <c r="F262" s="559"/>
      <c r="G262" s="558"/>
      <c r="H262" s="559"/>
      <c r="I262" s="559"/>
      <c r="J262" s="559"/>
      <c r="K262" s="560"/>
      <c r="L262" s="560"/>
      <c r="M262" s="560"/>
    </row>
    <row r="263" spans="3:13" s="338" customFormat="1">
      <c r="C263" s="558"/>
      <c r="D263" s="559"/>
      <c r="E263" s="559"/>
      <c r="F263" s="559"/>
      <c r="G263" s="558"/>
      <c r="H263" s="559"/>
      <c r="I263" s="559"/>
      <c r="J263" s="559"/>
      <c r="K263" s="560"/>
      <c r="L263" s="560"/>
      <c r="M263" s="560"/>
    </row>
    <row r="264" spans="3:13" s="338" customFormat="1">
      <c r="C264" s="558"/>
      <c r="D264" s="559"/>
      <c r="E264" s="559"/>
      <c r="F264" s="559"/>
      <c r="G264" s="558"/>
      <c r="H264" s="559"/>
      <c r="I264" s="559"/>
      <c r="J264" s="559"/>
      <c r="K264" s="560"/>
      <c r="L264" s="560"/>
      <c r="M264" s="560"/>
    </row>
    <row r="265" spans="3:13" s="338" customFormat="1">
      <c r="C265" s="558"/>
      <c r="D265" s="559"/>
      <c r="E265" s="559"/>
      <c r="F265" s="559"/>
      <c r="G265" s="558"/>
      <c r="H265" s="559"/>
      <c r="I265" s="559"/>
      <c r="J265" s="559"/>
      <c r="K265" s="560"/>
      <c r="L265" s="560"/>
      <c r="M265" s="560"/>
    </row>
    <row r="266" spans="3:13" s="338" customFormat="1">
      <c r="C266" s="558"/>
      <c r="D266" s="559"/>
      <c r="E266" s="559"/>
      <c r="F266" s="559"/>
      <c r="G266" s="558"/>
      <c r="H266" s="559"/>
      <c r="I266" s="559"/>
      <c r="J266" s="559"/>
      <c r="K266" s="560"/>
      <c r="L266" s="560"/>
      <c r="M266" s="560"/>
    </row>
    <row r="267" spans="3:13" s="338" customFormat="1">
      <c r="C267" s="558"/>
      <c r="D267" s="559"/>
      <c r="E267" s="559"/>
      <c r="F267" s="559"/>
      <c r="G267" s="558"/>
      <c r="H267" s="559"/>
      <c r="I267" s="559"/>
      <c r="J267" s="559"/>
      <c r="K267" s="560"/>
      <c r="L267" s="560"/>
      <c r="M267" s="560"/>
    </row>
    <row r="268" spans="3:13" s="338" customFormat="1">
      <c r="C268" s="558"/>
      <c r="D268" s="559"/>
      <c r="E268" s="559"/>
      <c r="F268" s="559"/>
      <c r="G268" s="558"/>
      <c r="H268" s="559"/>
      <c r="I268" s="559"/>
      <c r="J268" s="559"/>
      <c r="K268" s="560"/>
      <c r="L268" s="560"/>
      <c r="M268" s="560"/>
    </row>
    <row r="269" spans="3:13" s="338" customFormat="1">
      <c r="C269" s="558"/>
      <c r="D269" s="559"/>
      <c r="E269" s="559"/>
      <c r="F269" s="559"/>
      <c r="G269" s="558"/>
      <c r="H269" s="559"/>
      <c r="I269" s="559"/>
      <c r="J269" s="559"/>
      <c r="K269" s="560"/>
      <c r="L269" s="560"/>
      <c r="M269" s="560"/>
    </row>
    <row r="270" spans="3:13" s="338" customFormat="1">
      <c r="C270" s="558"/>
      <c r="D270" s="559"/>
      <c r="E270" s="559"/>
      <c r="F270" s="559"/>
      <c r="G270" s="558"/>
      <c r="H270" s="559"/>
      <c r="I270" s="559"/>
      <c r="J270" s="559"/>
      <c r="K270" s="560"/>
      <c r="L270" s="560"/>
      <c r="M270" s="560"/>
    </row>
    <row r="271" spans="3:13" s="338" customFormat="1">
      <c r="C271" s="558"/>
      <c r="D271" s="559"/>
      <c r="E271" s="559"/>
      <c r="F271" s="559"/>
      <c r="G271" s="558"/>
      <c r="H271" s="559"/>
      <c r="I271" s="559"/>
      <c r="J271" s="559"/>
      <c r="K271" s="560"/>
      <c r="L271" s="560"/>
      <c r="M271" s="560"/>
    </row>
    <row r="272" spans="3:13" s="338" customFormat="1">
      <c r="C272" s="558"/>
      <c r="D272" s="559"/>
      <c r="E272" s="559"/>
      <c r="F272" s="559"/>
      <c r="G272" s="558"/>
      <c r="H272" s="559"/>
      <c r="I272" s="559"/>
      <c r="J272" s="559"/>
      <c r="K272" s="560"/>
      <c r="L272" s="560"/>
      <c r="M272" s="560"/>
    </row>
    <row r="273" spans="3:13" s="338" customFormat="1">
      <c r="C273" s="558"/>
      <c r="D273" s="559"/>
      <c r="E273" s="559"/>
      <c r="F273" s="559"/>
      <c r="G273" s="558"/>
      <c r="H273" s="559"/>
      <c r="I273" s="559"/>
      <c r="J273" s="559"/>
      <c r="K273" s="560"/>
      <c r="L273" s="560"/>
      <c r="M273" s="560"/>
    </row>
    <row r="274" spans="3:13" s="338" customFormat="1">
      <c r="C274" s="558"/>
      <c r="D274" s="559"/>
      <c r="E274" s="559"/>
      <c r="F274" s="559"/>
      <c r="G274" s="558"/>
      <c r="H274" s="559"/>
      <c r="I274" s="559"/>
      <c r="J274" s="559"/>
      <c r="K274" s="560"/>
      <c r="L274" s="560"/>
      <c r="M274" s="560"/>
    </row>
    <row r="275" spans="3:13" s="338" customFormat="1">
      <c r="C275" s="558"/>
      <c r="D275" s="559"/>
      <c r="E275" s="559"/>
      <c r="F275" s="559"/>
      <c r="G275" s="558"/>
      <c r="H275" s="559"/>
      <c r="I275" s="559"/>
      <c r="J275" s="559"/>
      <c r="K275" s="560"/>
      <c r="L275" s="560"/>
      <c r="M275" s="560"/>
    </row>
    <row r="276" spans="3:13" s="338" customFormat="1">
      <c r="C276" s="558"/>
      <c r="D276" s="559"/>
      <c r="E276" s="559"/>
      <c r="F276" s="559"/>
      <c r="G276" s="558"/>
      <c r="H276" s="559"/>
      <c r="I276" s="559"/>
      <c r="J276" s="559"/>
      <c r="K276" s="560"/>
      <c r="L276" s="560"/>
      <c r="M276" s="560"/>
    </row>
    <row r="277" spans="3:13" s="338" customFormat="1">
      <c r="C277" s="558"/>
      <c r="D277" s="559"/>
      <c r="E277" s="559"/>
      <c r="F277" s="559"/>
      <c r="G277" s="558"/>
      <c r="H277" s="559"/>
      <c r="I277" s="559"/>
      <c r="J277" s="559"/>
      <c r="K277" s="560"/>
      <c r="L277" s="560"/>
      <c r="M277" s="560"/>
    </row>
    <row r="278" spans="3:13" s="338" customFormat="1">
      <c r="C278" s="558"/>
      <c r="D278" s="559"/>
      <c r="E278" s="559"/>
      <c r="F278" s="559"/>
      <c r="G278" s="558"/>
      <c r="H278" s="559"/>
      <c r="I278" s="559"/>
      <c r="J278" s="559"/>
      <c r="K278" s="560"/>
      <c r="L278" s="560"/>
      <c r="M278" s="560"/>
    </row>
    <row r="279" spans="3:13" s="338" customFormat="1">
      <c r="C279" s="558"/>
      <c r="D279" s="559"/>
      <c r="E279" s="559"/>
      <c r="F279" s="559"/>
      <c r="G279" s="558"/>
      <c r="H279" s="559"/>
      <c r="I279" s="559"/>
      <c r="J279" s="559"/>
      <c r="K279" s="560"/>
      <c r="L279" s="560"/>
      <c r="M279" s="560"/>
    </row>
    <row r="280" spans="3:13" s="338" customFormat="1">
      <c r="C280" s="558"/>
      <c r="D280" s="559"/>
      <c r="E280" s="559"/>
      <c r="F280" s="559"/>
      <c r="G280" s="558"/>
      <c r="H280" s="559"/>
      <c r="I280" s="559"/>
      <c r="J280" s="559"/>
      <c r="K280" s="560"/>
      <c r="L280" s="560"/>
      <c r="M280" s="560"/>
    </row>
    <row r="281" spans="3:13" s="338" customFormat="1">
      <c r="C281" s="558"/>
      <c r="D281" s="559"/>
      <c r="E281" s="559"/>
      <c r="F281" s="559"/>
      <c r="G281" s="558"/>
      <c r="H281" s="559"/>
      <c r="I281" s="559"/>
      <c r="J281" s="559"/>
      <c r="K281" s="560"/>
      <c r="L281" s="560"/>
      <c r="M281" s="560"/>
    </row>
    <row r="282" spans="3:13" s="338" customFormat="1">
      <c r="C282" s="558"/>
      <c r="D282" s="559"/>
      <c r="E282" s="559"/>
      <c r="F282" s="559"/>
      <c r="G282" s="558"/>
      <c r="H282" s="559"/>
      <c r="I282" s="559"/>
      <c r="J282" s="559"/>
      <c r="K282" s="560"/>
      <c r="L282" s="560"/>
      <c r="M282" s="560"/>
    </row>
    <row r="283" spans="3:13" s="338" customFormat="1">
      <c r="C283" s="558"/>
      <c r="D283" s="559"/>
      <c r="E283" s="559"/>
      <c r="F283" s="559"/>
      <c r="G283" s="558"/>
      <c r="H283" s="559"/>
      <c r="I283" s="559"/>
      <c r="J283" s="559"/>
      <c r="K283" s="560"/>
      <c r="L283" s="560"/>
      <c r="M283" s="560"/>
    </row>
    <row r="284" spans="3:13" s="338" customFormat="1">
      <c r="C284" s="558"/>
      <c r="D284" s="559"/>
      <c r="E284" s="559"/>
      <c r="F284" s="559"/>
      <c r="G284" s="558"/>
      <c r="H284" s="559"/>
      <c r="I284" s="559"/>
      <c r="J284" s="559"/>
      <c r="K284" s="560"/>
      <c r="L284" s="560"/>
      <c r="M284" s="560"/>
    </row>
    <row r="285" spans="3:13" s="338" customFormat="1">
      <c r="C285" s="558"/>
      <c r="D285" s="559"/>
      <c r="E285" s="559"/>
      <c r="F285" s="559"/>
      <c r="G285" s="558"/>
      <c r="H285" s="559"/>
      <c r="I285" s="559"/>
      <c r="J285" s="559"/>
      <c r="K285" s="560"/>
      <c r="L285" s="560"/>
      <c r="M285" s="560"/>
    </row>
    <row r="286" spans="3:13" s="338" customFormat="1">
      <c r="C286" s="558"/>
      <c r="D286" s="559"/>
      <c r="E286" s="559"/>
      <c r="F286" s="559"/>
      <c r="G286" s="558"/>
      <c r="H286" s="559"/>
      <c r="I286" s="559"/>
      <c r="J286" s="559"/>
      <c r="K286" s="560"/>
      <c r="L286" s="560"/>
      <c r="M286" s="560"/>
    </row>
    <row r="287" spans="3:13" s="338" customFormat="1">
      <c r="C287" s="558"/>
      <c r="D287" s="559"/>
      <c r="E287" s="559"/>
      <c r="F287" s="559"/>
      <c r="G287" s="558"/>
      <c r="H287" s="559"/>
      <c r="I287" s="559"/>
      <c r="J287" s="559"/>
      <c r="K287" s="560"/>
      <c r="L287" s="560"/>
      <c r="M287" s="560"/>
    </row>
    <row r="288" spans="3:13" s="338" customFormat="1">
      <c r="C288" s="558"/>
      <c r="D288" s="559"/>
      <c r="E288" s="559"/>
      <c r="F288" s="559"/>
      <c r="G288" s="558"/>
      <c r="H288" s="559"/>
      <c r="I288" s="559"/>
      <c r="J288" s="559"/>
      <c r="K288" s="560"/>
      <c r="L288" s="560"/>
      <c r="M288" s="560"/>
    </row>
    <row r="289" spans="3:13" s="338" customFormat="1">
      <c r="C289" s="558"/>
      <c r="D289" s="559"/>
      <c r="E289" s="559"/>
      <c r="F289" s="559"/>
      <c r="G289" s="558"/>
      <c r="H289" s="559"/>
      <c r="I289" s="559"/>
      <c r="J289" s="559"/>
      <c r="K289" s="560"/>
      <c r="L289" s="560"/>
      <c r="M289" s="560"/>
    </row>
    <row r="290" spans="3:13" s="338" customFormat="1">
      <c r="C290" s="558"/>
      <c r="D290" s="559"/>
      <c r="E290" s="559"/>
      <c r="F290" s="559"/>
      <c r="G290" s="558"/>
      <c r="H290" s="559"/>
      <c r="I290" s="559"/>
      <c r="J290" s="559"/>
      <c r="K290" s="560"/>
      <c r="L290" s="560"/>
      <c r="M290" s="560"/>
    </row>
    <row r="291" spans="3:13" s="338" customFormat="1">
      <c r="C291" s="558"/>
      <c r="D291" s="559"/>
      <c r="E291" s="559"/>
      <c r="F291" s="559"/>
      <c r="G291" s="558"/>
      <c r="H291" s="559"/>
      <c r="I291" s="559"/>
      <c r="J291" s="559"/>
      <c r="K291" s="560"/>
      <c r="L291" s="560"/>
      <c r="M291" s="560"/>
    </row>
    <row r="292" spans="3:13" s="338" customFormat="1">
      <c r="C292" s="558"/>
      <c r="D292" s="559"/>
      <c r="E292" s="559"/>
      <c r="F292" s="559"/>
      <c r="G292" s="558"/>
      <c r="H292" s="559"/>
      <c r="I292" s="559"/>
      <c r="J292" s="559"/>
      <c r="K292" s="560"/>
      <c r="L292" s="560"/>
      <c r="M292" s="560"/>
    </row>
    <row r="293" spans="3:13" s="338" customFormat="1">
      <c r="C293" s="558"/>
      <c r="D293" s="559"/>
      <c r="E293" s="559"/>
      <c r="F293" s="559"/>
      <c r="G293" s="558"/>
      <c r="H293" s="559"/>
      <c r="I293" s="559"/>
      <c r="J293" s="559"/>
      <c r="K293" s="560"/>
      <c r="L293" s="560"/>
      <c r="M293" s="560"/>
    </row>
    <row r="294" spans="3:13" s="338" customFormat="1">
      <c r="C294" s="558"/>
      <c r="D294" s="559"/>
      <c r="E294" s="559"/>
      <c r="F294" s="559"/>
      <c r="G294" s="558"/>
      <c r="H294" s="559"/>
      <c r="I294" s="559"/>
      <c r="J294" s="559"/>
      <c r="K294" s="560"/>
      <c r="L294" s="560"/>
      <c r="M294" s="560"/>
    </row>
    <row r="295" spans="3:13" s="338" customFormat="1">
      <c r="C295" s="558"/>
      <c r="D295" s="559"/>
      <c r="E295" s="559"/>
      <c r="F295" s="559"/>
      <c r="G295" s="558"/>
      <c r="H295" s="559"/>
      <c r="I295" s="559"/>
      <c r="J295" s="559"/>
      <c r="K295" s="560"/>
      <c r="L295" s="560"/>
      <c r="M295" s="560"/>
    </row>
    <row r="296" spans="3:13" s="338" customFormat="1">
      <c r="C296" s="558"/>
      <c r="D296" s="559"/>
      <c r="E296" s="559"/>
      <c r="F296" s="559"/>
      <c r="G296" s="558"/>
      <c r="H296" s="559"/>
      <c r="I296" s="559"/>
      <c r="J296" s="559"/>
      <c r="K296" s="560"/>
      <c r="L296" s="560"/>
      <c r="M296" s="560"/>
    </row>
    <row r="297" spans="3:13" s="338" customFormat="1">
      <c r="C297" s="558"/>
      <c r="D297" s="559"/>
      <c r="E297" s="559"/>
      <c r="F297" s="559"/>
      <c r="G297" s="558"/>
      <c r="H297" s="559"/>
      <c r="I297" s="559"/>
      <c r="J297" s="559"/>
      <c r="K297" s="560"/>
      <c r="L297" s="560"/>
      <c r="M297" s="560"/>
    </row>
    <row r="298" spans="3:13" s="338" customFormat="1">
      <c r="C298" s="558"/>
      <c r="D298" s="559"/>
      <c r="E298" s="559"/>
      <c r="F298" s="559"/>
      <c r="G298" s="558"/>
      <c r="H298" s="559"/>
      <c r="I298" s="559"/>
      <c r="J298" s="559"/>
      <c r="K298" s="560"/>
      <c r="L298" s="560"/>
      <c r="M298" s="560"/>
    </row>
    <row r="299" spans="3:13" s="338" customFormat="1">
      <c r="C299" s="558"/>
      <c r="D299" s="559"/>
      <c r="E299" s="559"/>
      <c r="F299" s="559"/>
      <c r="G299" s="558"/>
      <c r="H299" s="559"/>
      <c r="I299" s="559"/>
      <c r="J299" s="559"/>
      <c r="K299" s="560"/>
      <c r="L299" s="560"/>
      <c r="M299" s="560"/>
    </row>
    <row r="300" spans="3:13" s="338" customFormat="1">
      <c r="C300" s="558"/>
      <c r="D300" s="559"/>
      <c r="E300" s="559"/>
      <c r="F300" s="559"/>
      <c r="G300" s="558"/>
      <c r="H300" s="559"/>
      <c r="I300" s="559"/>
      <c r="J300" s="559"/>
      <c r="K300" s="560"/>
      <c r="L300" s="560"/>
      <c r="M300" s="560"/>
    </row>
    <row r="301" spans="3:13" s="338" customFormat="1">
      <c r="C301" s="558"/>
      <c r="D301" s="559"/>
      <c r="E301" s="559"/>
      <c r="F301" s="559"/>
      <c r="G301" s="558"/>
      <c r="H301" s="559"/>
      <c r="I301" s="559"/>
      <c r="J301" s="559"/>
      <c r="K301" s="560"/>
      <c r="L301" s="560"/>
      <c r="M301" s="560"/>
    </row>
    <row r="302" spans="3:13" s="338" customFormat="1">
      <c r="C302" s="558"/>
      <c r="D302" s="559"/>
      <c r="E302" s="559"/>
      <c r="F302" s="559"/>
      <c r="G302" s="558"/>
      <c r="H302" s="559"/>
      <c r="I302" s="559"/>
      <c r="J302" s="559"/>
      <c r="K302" s="560"/>
      <c r="L302" s="560"/>
      <c r="M302" s="560"/>
    </row>
    <row r="303" spans="3:13" s="338" customFormat="1">
      <c r="C303" s="558"/>
      <c r="D303" s="559"/>
      <c r="E303" s="559"/>
      <c r="F303" s="559"/>
      <c r="G303" s="558"/>
      <c r="H303" s="559"/>
      <c r="I303" s="559"/>
      <c r="J303" s="559"/>
      <c r="K303" s="560"/>
      <c r="L303" s="560"/>
      <c r="M303" s="560"/>
    </row>
    <row r="304" spans="3:13" s="338" customFormat="1">
      <c r="C304" s="558"/>
      <c r="D304" s="559"/>
      <c r="E304" s="559"/>
      <c r="F304" s="559"/>
      <c r="G304" s="558"/>
      <c r="H304" s="559"/>
      <c r="I304" s="559"/>
      <c r="J304" s="559"/>
      <c r="K304" s="560"/>
      <c r="L304" s="560"/>
      <c r="M304" s="560"/>
    </row>
    <row r="305" spans="3:13" s="338" customFormat="1">
      <c r="C305" s="558"/>
      <c r="D305" s="559"/>
      <c r="E305" s="559"/>
      <c r="F305" s="559"/>
      <c r="G305" s="558"/>
      <c r="H305" s="559"/>
      <c r="I305" s="559"/>
      <c r="J305" s="559"/>
      <c r="K305" s="560"/>
      <c r="L305" s="560"/>
      <c r="M305" s="560"/>
    </row>
    <row r="306" spans="3:13" s="338" customFormat="1">
      <c r="C306" s="558"/>
      <c r="D306" s="559"/>
      <c r="E306" s="559"/>
      <c r="F306" s="559"/>
      <c r="G306" s="558"/>
      <c r="H306" s="559"/>
      <c r="I306" s="559"/>
      <c r="J306" s="559"/>
      <c r="K306" s="560"/>
      <c r="L306" s="560"/>
      <c r="M306" s="560"/>
    </row>
    <row r="307" spans="3:13" s="338" customFormat="1">
      <c r="C307" s="558"/>
      <c r="D307" s="559"/>
      <c r="E307" s="559"/>
      <c r="F307" s="559"/>
      <c r="G307" s="558"/>
      <c r="H307" s="559"/>
      <c r="I307" s="559"/>
      <c r="J307" s="559"/>
      <c r="K307" s="560"/>
      <c r="L307" s="560"/>
      <c r="M307" s="560"/>
    </row>
    <row r="308" spans="3:13" s="338" customFormat="1">
      <c r="C308" s="558"/>
      <c r="D308" s="559"/>
      <c r="E308" s="559"/>
      <c r="F308" s="559"/>
      <c r="G308" s="558"/>
      <c r="H308" s="559"/>
      <c r="I308" s="559"/>
      <c r="J308" s="559"/>
      <c r="K308" s="560"/>
      <c r="L308" s="560"/>
      <c r="M308" s="560"/>
    </row>
    <row r="309" spans="3:13" s="338" customFormat="1">
      <c r="C309" s="558"/>
      <c r="D309" s="559"/>
      <c r="E309" s="559"/>
      <c r="F309" s="559"/>
      <c r="G309" s="558"/>
      <c r="H309" s="559"/>
      <c r="I309" s="559"/>
      <c r="J309" s="559"/>
      <c r="K309" s="560"/>
      <c r="L309" s="560"/>
      <c r="M309" s="560"/>
    </row>
    <row r="310" spans="3:13" s="338" customFormat="1">
      <c r="C310" s="558"/>
      <c r="D310" s="559"/>
      <c r="E310" s="559"/>
      <c r="F310" s="559"/>
      <c r="G310" s="558"/>
      <c r="H310" s="559"/>
      <c r="I310" s="559"/>
      <c r="J310" s="559"/>
      <c r="K310" s="560"/>
      <c r="L310" s="560"/>
      <c r="M310" s="560"/>
    </row>
    <row r="311" spans="3:13" s="338" customFormat="1">
      <c r="C311" s="558"/>
      <c r="D311" s="559"/>
      <c r="E311" s="559"/>
      <c r="F311" s="559"/>
      <c r="G311" s="558"/>
      <c r="H311" s="559"/>
      <c r="I311" s="559"/>
      <c r="J311" s="559"/>
      <c r="K311" s="560"/>
      <c r="L311" s="560"/>
      <c r="M311" s="560"/>
    </row>
    <row r="312" spans="3:13" s="338" customFormat="1">
      <c r="C312" s="558"/>
      <c r="D312" s="559"/>
      <c r="E312" s="559"/>
      <c r="F312" s="559"/>
      <c r="G312" s="558"/>
      <c r="H312" s="559"/>
      <c r="I312" s="559"/>
      <c r="J312" s="559"/>
      <c r="K312" s="560"/>
      <c r="L312" s="560"/>
      <c r="M312" s="560"/>
    </row>
    <row r="313" spans="3:13" s="338" customFormat="1">
      <c r="C313" s="558"/>
      <c r="D313" s="559"/>
      <c r="E313" s="559"/>
      <c r="F313" s="559"/>
      <c r="G313" s="558"/>
      <c r="H313" s="559"/>
      <c r="I313" s="559"/>
      <c r="J313" s="559"/>
      <c r="K313" s="560"/>
      <c r="L313" s="560"/>
      <c r="M313" s="560"/>
    </row>
    <row r="314" spans="3:13" s="338" customFormat="1">
      <c r="C314" s="558"/>
      <c r="D314" s="559"/>
      <c r="E314" s="559"/>
      <c r="F314" s="559"/>
      <c r="G314" s="558"/>
      <c r="H314" s="559"/>
      <c r="I314" s="559"/>
      <c r="J314" s="559"/>
      <c r="K314" s="560"/>
      <c r="L314" s="560"/>
      <c r="M314" s="560"/>
    </row>
    <row r="315" spans="3:13" s="338" customFormat="1">
      <c r="C315" s="558"/>
      <c r="D315" s="559"/>
      <c r="E315" s="559"/>
      <c r="F315" s="559"/>
      <c r="G315" s="558"/>
      <c r="H315" s="559"/>
      <c r="I315" s="559"/>
      <c r="J315" s="559"/>
      <c r="K315" s="560"/>
      <c r="L315" s="560"/>
      <c r="M315" s="560"/>
    </row>
    <row r="316" spans="3:13" s="338" customFormat="1">
      <c r="C316" s="558"/>
      <c r="D316" s="559"/>
      <c r="E316" s="559"/>
      <c r="F316" s="559"/>
      <c r="G316" s="558"/>
      <c r="H316" s="559"/>
      <c r="I316" s="559"/>
      <c r="J316" s="559"/>
      <c r="K316" s="560"/>
      <c r="L316" s="560"/>
      <c r="M316" s="560"/>
    </row>
    <row r="317" spans="3:13" s="338" customFormat="1">
      <c r="C317" s="558"/>
      <c r="D317" s="559"/>
      <c r="E317" s="559"/>
      <c r="F317" s="559"/>
      <c r="G317" s="558"/>
      <c r="H317" s="559"/>
      <c r="I317" s="559"/>
      <c r="J317" s="559"/>
      <c r="K317" s="560"/>
      <c r="L317" s="560"/>
      <c r="M317" s="560"/>
    </row>
    <row r="318" spans="3:13" s="338" customFormat="1">
      <c r="C318" s="558"/>
      <c r="D318" s="559"/>
      <c r="E318" s="559"/>
      <c r="F318" s="559"/>
      <c r="G318" s="558"/>
      <c r="H318" s="559"/>
      <c r="I318" s="559"/>
      <c r="J318" s="559"/>
      <c r="K318" s="560"/>
      <c r="L318" s="560"/>
      <c r="M318" s="560"/>
    </row>
    <row r="319" spans="3:13" s="338" customFormat="1">
      <c r="C319" s="558"/>
      <c r="D319" s="559"/>
      <c r="E319" s="559"/>
      <c r="F319" s="559"/>
      <c r="G319" s="558"/>
      <c r="H319" s="559"/>
      <c r="I319" s="559"/>
      <c r="J319" s="559"/>
      <c r="K319" s="560"/>
      <c r="L319" s="560"/>
      <c r="M319" s="560"/>
    </row>
    <row r="320" spans="3:13" s="338" customFormat="1">
      <c r="C320" s="558"/>
      <c r="D320" s="559"/>
      <c r="E320" s="559"/>
      <c r="F320" s="559"/>
      <c r="G320" s="558"/>
      <c r="H320" s="559"/>
      <c r="I320" s="559"/>
      <c r="J320" s="559"/>
      <c r="K320" s="560"/>
      <c r="L320" s="560"/>
      <c r="M320" s="560"/>
    </row>
    <row r="321" spans="3:13" s="338" customFormat="1">
      <c r="C321" s="558"/>
      <c r="D321" s="559"/>
      <c r="E321" s="559"/>
      <c r="F321" s="559"/>
      <c r="G321" s="558"/>
      <c r="H321" s="559"/>
      <c r="I321" s="559"/>
      <c r="J321" s="559"/>
      <c r="K321" s="560"/>
      <c r="L321" s="560"/>
      <c r="M321" s="560"/>
    </row>
    <row r="322" spans="3:13" s="338" customFormat="1">
      <c r="C322" s="558"/>
      <c r="D322" s="559"/>
      <c r="E322" s="559"/>
      <c r="F322" s="559"/>
      <c r="G322" s="558"/>
      <c r="H322" s="559"/>
      <c r="I322" s="559"/>
      <c r="J322" s="559"/>
      <c r="K322" s="560"/>
      <c r="L322" s="560"/>
      <c r="M322" s="560"/>
    </row>
    <row r="323" spans="3:13" s="338" customFormat="1">
      <c r="C323" s="558"/>
      <c r="D323" s="559"/>
      <c r="E323" s="559"/>
      <c r="F323" s="559"/>
      <c r="G323" s="558"/>
      <c r="H323" s="559"/>
      <c r="I323" s="559"/>
      <c r="J323" s="559"/>
      <c r="K323" s="560"/>
      <c r="L323" s="560"/>
      <c r="M323" s="560"/>
    </row>
    <row r="324" spans="3:13" s="338" customFormat="1">
      <c r="C324" s="558"/>
      <c r="D324" s="559"/>
      <c r="E324" s="559"/>
      <c r="F324" s="559"/>
      <c r="G324" s="558"/>
      <c r="H324" s="559"/>
      <c r="I324" s="559"/>
      <c r="J324" s="559"/>
      <c r="K324" s="560"/>
      <c r="L324" s="560"/>
      <c r="M324" s="560"/>
    </row>
    <row r="325" spans="3:13" s="338" customFormat="1">
      <c r="C325" s="558"/>
      <c r="D325" s="559"/>
      <c r="E325" s="559"/>
      <c r="F325" s="559"/>
      <c r="G325" s="558"/>
      <c r="H325" s="559"/>
      <c r="I325" s="559"/>
      <c r="J325" s="559"/>
      <c r="K325" s="560"/>
      <c r="L325" s="560"/>
      <c r="M325" s="560"/>
    </row>
    <row r="326" spans="3:13" s="338" customFormat="1">
      <c r="C326" s="558"/>
      <c r="D326" s="559"/>
      <c r="E326" s="559"/>
      <c r="F326" s="559"/>
      <c r="G326" s="558"/>
      <c r="H326" s="559"/>
      <c r="I326" s="559"/>
      <c r="J326" s="559"/>
      <c r="K326" s="560"/>
      <c r="L326" s="560"/>
      <c r="M326" s="560"/>
    </row>
    <row r="327" spans="3:13" s="338" customFormat="1">
      <c r="C327" s="558"/>
      <c r="D327" s="559"/>
      <c r="E327" s="559"/>
      <c r="F327" s="559"/>
      <c r="G327" s="558"/>
      <c r="H327" s="559"/>
      <c r="I327" s="559"/>
      <c r="J327" s="559"/>
      <c r="K327" s="560"/>
      <c r="L327" s="560"/>
      <c r="M327" s="560"/>
    </row>
    <row r="328" spans="3:13" s="338" customFormat="1">
      <c r="C328" s="558"/>
      <c r="D328" s="559"/>
      <c r="E328" s="559"/>
      <c r="F328" s="559"/>
      <c r="G328" s="558"/>
      <c r="H328" s="559"/>
      <c r="I328" s="559"/>
      <c r="J328" s="559"/>
      <c r="K328" s="560"/>
      <c r="L328" s="560"/>
      <c r="M328" s="560"/>
    </row>
    <row r="329" spans="3:13" s="338" customFormat="1">
      <c r="C329" s="558"/>
      <c r="D329" s="559"/>
      <c r="E329" s="559"/>
      <c r="F329" s="559"/>
      <c r="G329" s="558"/>
      <c r="H329" s="559"/>
      <c r="I329" s="559"/>
      <c r="J329" s="559"/>
      <c r="K329" s="560"/>
      <c r="L329" s="560"/>
      <c r="M329" s="560"/>
    </row>
    <row r="330" spans="3:13" s="338" customFormat="1">
      <c r="C330" s="558"/>
      <c r="D330" s="559"/>
      <c r="E330" s="559"/>
      <c r="F330" s="559"/>
      <c r="G330" s="558"/>
      <c r="H330" s="559"/>
      <c r="I330" s="559"/>
      <c r="J330" s="559"/>
      <c r="K330" s="560"/>
      <c r="L330" s="560"/>
      <c r="M330" s="560"/>
    </row>
    <row r="331" spans="3:13" s="338" customFormat="1">
      <c r="C331" s="558"/>
      <c r="D331" s="559"/>
      <c r="E331" s="559"/>
      <c r="F331" s="559"/>
      <c r="G331" s="558"/>
      <c r="H331" s="559"/>
      <c r="I331" s="559"/>
      <c r="J331" s="559"/>
      <c r="K331" s="560"/>
      <c r="L331" s="560"/>
      <c r="M331" s="560"/>
    </row>
    <row r="332" spans="3:13" s="338" customFormat="1">
      <c r="C332" s="558"/>
      <c r="D332" s="559"/>
      <c r="E332" s="559"/>
      <c r="F332" s="559"/>
      <c r="G332" s="558"/>
      <c r="H332" s="559"/>
      <c r="I332" s="559"/>
      <c r="J332" s="559"/>
      <c r="K332" s="560"/>
      <c r="L332" s="560"/>
      <c r="M332" s="560"/>
    </row>
    <row r="333" spans="3:13" s="338" customFormat="1">
      <c r="C333" s="558"/>
      <c r="D333" s="559"/>
      <c r="E333" s="559"/>
      <c r="F333" s="559"/>
      <c r="G333" s="558"/>
      <c r="H333" s="559"/>
      <c r="I333" s="559"/>
      <c r="J333" s="559"/>
      <c r="K333" s="560"/>
      <c r="L333" s="560"/>
      <c r="M333" s="560"/>
    </row>
    <row r="334" spans="3:13" s="338" customFormat="1">
      <c r="C334" s="558"/>
      <c r="D334" s="559"/>
      <c r="E334" s="559"/>
      <c r="F334" s="559"/>
      <c r="G334" s="558"/>
      <c r="H334" s="559"/>
      <c r="I334" s="559"/>
      <c r="J334" s="559"/>
      <c r="K334" s="560"/>
      <c r="L334" s="560"/>
      <c r="M334" s="560"/>
    </row>
    <row r="335" spans="3:13" s="338" customFormat="1">
      <c r="C335" s="558"/>
      <c r="D335" s="559"/>
      <c r="E335" s="559"/>
      <c r="F335" s="559"/>
      <c r="G335" s="558"/>
      <c r="H335" s="559"/>
      <c r="I335" s="559"/>
      <c r="J335" s="559"/>
      <c r="K335" s="560"/>
      <c r="L335" s="560"/>
      <c r="M335" s="560"/>
    </row>
    <row r="336" spans="3:13" s="338" customFormat="1">
      <c r="C336" s="558"/>
      <c r="D336" s="559"/>
      <c r="E336" s="559"/>
      <c r="F336" s="559"/>
      <c r="G336" s="558"/>
      <c r="H336" s="559"/>
      <c r="I336" s="559"/>
      <c r="J336" s="559"/>
      <c r="K336" s="560"/>
      <c r="L336" s="560"/>
      <c r="M336" s="560"/>
    </row>
    <row r="337" spans="3:13" s="338" customFormat="1">
      <c r="C337" s="558"/>
      <c r="D337" s="559"/>
      <c r="E337" s="559"/>
      <c r="F337" s="559"/>
      <c r="G337" s="558"/>
      <c r="H337" s="559"/>
      <c r="I337" s="559"/>
      <c r="J337" s="559"/>
      <c r="K337" s="560"/>
      <c r="L337" s="560"/>
      <c r="M337" s="560"/>
    </row>
    <row r="338" spans="3:13" s="338" customFormat="1">
      <c r="C338" s="558"/>
      <c r="D338" s="559"/>
      <c r="E338" s="559"/>
      <c r="F338" s="559"/>
      <c r="G338" s="558"/>
      <c r="H338" s="559"/>
      <c r="I338" s="559"/>
      <c r="J338" s="559"/>
      <c r="K338" s="560"/>
      <c r="L338" s="560"/>
      <c r="M338" s="560"/>
    </row>
    <row r="339" spans="3:13" s="338" customFormat="1">
      <c r="C339" s="558"/>
      <c r="D339" s="559"/>
      <c r="E339" s="559"/>
      <c r="F339" s="559"/>
      <c r="G339" s="558"/>
      <c r="H339" s="559"/>
      <c r="I339" s="559"/>
      <c r="J339" s="559"/>
      <c r="K339" s="560"/>
      <c r="L339" s="560"/>
      <c r="M339" s="560"/>
    </row>
    <row r="340" spans="3:13" s="338" customFormat="1">
      <c r="C340" s="558"/>
      <c r="D340" s="559"/>
      <c r="E340" s="559"/>
      <c r="F340" s="559"/>
      <c r="G340" s="558"/>
      <c r="H340" s="559"/>
      <c r="I340" s="559"/>
      <c r="J340" s="559"/>
      <c r="K340" s="560"/>
      <c r="L340" s="560"/>
      <c r="M340" s="560"/>
    </row>
    <row r="341" spans="3:13" s="338" customFormat="1">
      <c r="C341" s="558"/>
      <c r="D341" s="559"/>
      <c r="E341" s="559"/>
      <c r="F341" s="559"/>
      <c r="G341" s="558"/>
      <c r="H341" s="559"/>
      <c r="I341" s="559"/>
      <c r="J341" s="559"/>
      <c r="K341" s="560"/>
      <c r="L341" s="560"/>
      <c r="M341" s="560"/>
    </row>
    <row r="342" spans="3:13" s="338" customFormat="1">
      <c r="C342" s="558"/>
      <c r="D342" s="559"/>
      <c r="E342" s="559"/>
      <c r="F342" s="559"/>
      <c r="G342" s="558"/>
      <c r="H342" s="559"/>
      <c r="I342" s="559"/>
      <c r="J342" s="559"/>
      <c r="K342" s="560"/>
      <c r="L342" s="560"/>
      <c r="M342" s="560"/>
    </row>
    <row r="343" spans="3:13" s="338" customFormat="1">
      <c r="C343" s="558"/>
      <c r="D343" s="559"/>
      <c r="E343" s="559"/>
      <c r="F343" s="559"/>
      <c r="G343" s="558"/>
      <c r="H343" s="559"/>
      <c r="I343" s="559"/>
      <c r="J343" s="559"/>
      <c r="K343" s="560"/>
      <c r="L343" s="560"/>
      <c r="M343" s="560"/>
    </row>
    <row r="344" spans="3:13" s="338" customFormat="1">
      <c r="C344" s="558"/>
      <c r="D344" s="559"/>
      <c r="E344" s="559"/>
      <c r="F344" s="559"/>
      <c r="G344" s="558"/>
      <c r="H344" s="559"/>
      <c r="I344" s="559"/>
      <c r="J344" s="559"/>
      <c r="K344" s="560"/>
      <c r="L344" s="560"/>
      <c r="M344" s="560"/>
    </row>
    <row r="345" spans="3:13" s="338" customFormat="1">
      <c r="C345" s="558"/>
      <c r="D345" s="559"/>
      <c r="E345" s="559"/>
      <c r="F345" s="559"/>
      <c r="G345" s="558"/>
      <c r="H345" s="559"/>
      <c r="I345" s="559"/>
      <c r="J345" s="559"/>
      <c r="K345" s="560"/>
      <c r="L345" s="560"/>
      <c r="M345" s="560"/>
    </row>
    <row r="346" spans="3:13" s="338" customFormat="1">
      <c r="C346" s="558"/>
      <c r="D346" s="559"/>
      <c r="E346" s="559"/>
      <c r="F346" s="559"/>
      <c r="G346" s="558"/>
      <c r="H346" s="559"/>
      <c r="I346" s="559"/>
      <c r="J346" s="559"/>
      <c r="K346" s="560"/>
      <c r="L346" s="560"/>
      <c r="M346" s="560"/>
    </row>
    <row r="347" spans="3:13" s="338" customFormat="1">
      <c r="C347" s="558"/>
      <c r="D347" s="559"/>
      <c r="E347" s="559"/>
      <c r="F347" s="559"/>
      <c r="G347" s="558"/>
      <c r="H347" s="559"/>
      <c r="I347" s="559"/>
      <c r="J347" s="559"/>
      <c r="K347" s="560"/>
      <c r="L347" s="560"/>
      <c r="M347" s="560"/>
    </row>
    <row r="348" spans="3:13" s="338" customFormat="1">
      <c r="C348" s="558"/>
      <c r="D348" s="559"/>
      <c r="E348" s="559"/>
      <c r="F348" s="559"/>
      <c r="G348" s="558"/>
      <c r="H348" s="559"/>
      <c r="I348" s="559"/>
      <c r="J348" s="559"/>
      <c r="K348" s="560"/>
      <c r="L348" s="560"/>
      <c r="M348" s="560"/>
    </row>
    <row r="349" spans="3:13" s="338" customFormat="1">
      <c r="C349" s="558"/>
      <c r="D349" s="559"/>
      <c r="E349" s="559"/>
      <c r="F349" s="559"/>
      <c r="G349" s="558"/>
      <c r="H349" s="559"/>
      <c r="I349" s="559"/>
      <c r="J349" s="559"/>
      <c r="K349" s="560"/>
      <c r="L349" s="560"/>
      <c r="M349" s="560"/>
    </row>
    <row r="350" spans="3:13" s="338" customFormat="1">
      <c r="C350" s="558"/>
      <c r="D350" s="559"/>
      <c r="E350" s="559"/>
      <c r="F350" s="559"/>
      <c r="G350" s="558"/>
      <c r="H350" s="559"/>
      <c r="I350" s="559"/>
      <c r="J350" s="559"/>
      <c r="K350" s="560"/>
      <c r="L350" s="560"/>
      <c r="M350" s="560"/>
    </row>
    <row r="351" spans="3:13" s="338" customFormat="1">
      <c r="C351" s="558"/>
      <c r="D351" s="559"/>
      <c r="E351" s="559"/>
      <c r="F351" s="559"/>
      <c r="G351" s="558"/>
      <c r="H351" s="559"/>
      <c r="I351" s="559"/>
      <c r="J351" s="559"/>
      <c r="K351" s="560"/>
      <c r="L351" s="560"/>
      <c r="M351" s="560"/>
    </row>
    <row r="352" spans="3:13" s="338" customFormat="1">
      <c r="C352" s="558"/>
      <c r="D352" s="559"/>
      <c r="E352" s="559"/>
      <c r="F352" s="559"/>
      <c r="G352" s="558"/>
      <c r="H352" s="559"/>
      <c r="I352" s="559"/>
      <c r="J352" s="559"/>
      <c r="K352" s="560"/>
      <c r="L352" s="560"/>
      <c r="M352" s="560"/>
    </row>
    <row r="353" spans="3:13" s="338" customFormat="1">
      <c r="C353" s="558"/>
      <c r="D353" s="559"/>
      <c r="E353" s="559"/>
      <c r="F353" s="559"/>
      <c r="G353" s="558"/>
      <c r="H353" s="559"/>
      <c r="I353" s="559"/>
      <c r="J353" s="559"/>
      <c r="K353" s="560"/>
      <c r="L353" s="560"/>
      <c r="M353" s="560"/>
    </row>
    <row r="354" spans="3:13" s="338" customFormat="1">
      <c r="C354" s="558"/>
      <c r="D354" s="559"/>
      <c r="E354" s="559"/>
      <c r="F354" s="559"/>
      <c r="G354" s="558"/>
      <c r="H354" s="559"/>
      <c r="I354" s="559"/>
      <c r="J354" s="559"/>
      <c r="K354" s="560"/>
      <c r="L354" s="560"/>
      <c r="M354" s="560"/>
    </row>
    <row r="355" spans="3:13" s="338" customFormat="1">
      <c r="C355" s="558"/>
      <c r="D355" s="559"/>
      <c r="E355" s="559"/>
      <c r="F355" s="559"/>
      <c r="G355" s="558"/>
      <c r="H355" s="559"/>
      <c r="I355" s="559"/>
      <c r="J355" s="559"/>
      <c r="K355" s="560"/>
      <c r="L355" s="560"/>
      <c r="M355" s="560"/>
    </row>
    <row r="356" spans="3:13" s="338" customFormat="1">
      <c r="C356" s="558"/>
      <c r="D356" s="559"/>
      <c r="E356" s="559"/>
      <c r="F356" s="559"/>
      <c r="G356" s="558"/>
      <c r="H356" s="559"/>
      <c r="I356" s="559"/>
      <c r="J356" s="559"/>
      <c r="K356" s="560"/>
      <c r="L356" s="560"/>
      <c r="M356" s="560"/>
    </row>
    <row r="357" spans="3:13" s="338" customFormat="1">
      <c r="C357" s="558"/>
      <c r="D357" s="559"/>
      <c r="E357" s="559"/>
      <c r="F357" s="559"/>
      <c r="G357" s="558"/>
      <c r="H357" s="559"/>
      <c r="I357" s="559"/>
      <c r="J357" s="559"/>
      <c r="K357" s="560"/>
      <c r="L357" s="560"/>
      <c r="M357" s="560"/>
    </row>
    <row r="358" spans="3:13" s="338" customFormat="1">
      <c r="C358" s="558"/>
      <c r="D358" s="559"/>
      <c r="E358" s="559"/>
      <c r="F358" s="559"/>
      <c r="G358" s="558"/>
      <c r="H358" s="559"/>
      <c r="I358" s="559"/>
      <c r="J358" s="559"/>
      <c r="K358" s="560"/>
      <c r="L358" s="560"/>
      <c r="M358" s="560"/>
    </row>
    <row r="359" spans="3:13" s="338" customFormat="1">
      <c r="C359" s="558"/>
      <c r="D359" s="559"/>
      <c r="E359" s="559"/>
      <c r="F359" s="559"/>
      <c r="G359" s="558"/>
      <c r="H359" s="559"/>
      <c r="I359" s="559"/>
      <c r="J359" s="559"/>
      <c r="K359" s="560"/>
      <c r="L359" s="560"/>
      <c r="M359" s="560"/>
    </row>
    <row r="360" spans="3:13" s="338" customFormat="1">
      <c r="C360" s="558"/>
      <c r="D360" s="559"/>
      <c r="E360" s="559"/>
      <c r="F360" s="559"/>
      <c r="G360" s="558"/>
      <c r="H360" s="559"/>
      <c r="I360" s="559"/>
      <c r="J360" s="559"/>
      <c r="K360" s="560"/>
      <c r="L360" s="560"/>
      <c r="M360" s="560"/>
    </row>
    <row r="361" spans="3:13" s="338" customFormat="1">
      <c r="C361" s="558"/>
      <c r="D361" s="559"/>
      <c r="E361" s="559"/>
      <c r="F361" s="559"/>
      <c r="G361" s="558"/>
      <c r="H361" s="559"/>
      <c r="I361" s="559"/>
      <c r="J361" s="559"/>
      <c r="K361" s="560"/>
      <c r="L361" s="560"/>
      <c r="M361" s="560"/>
    </row>
    <row r="362" spans="3:13" s="338" customFormat="1">
      <c r="C362" s="558"/>
      <c r="D362" s="559"/>
      <c r="E362" s="559"/>
      <c r="F362" s="559"/>
      <c r="G362" s="558"/>
      <c r="H362" s="559"/>
      <c r="I362" s="559"/>
      <c r="J362" s="559"/>
      <c r="K362" s="560"/>
      <c r="L362" s="560"/>
      <c r="M362" s="560"/>
    </row>
    <row r="363" spans="3:13" s="338" customFormat="1">
      <c r="C363" s="558"/>
      <c r="D363" s="559"/>
      <c r="E363" s="559"/>
      <c r="F363" s="559"/>
      <c r="G363" s="558"/>
      <c r="H363" s="559"/>
      <c r="I363" s="559"/>
      <c r="J363" s="559"/>
      <c r="K363" s="560"/>
      <c r="L363" s="560"/>
      <c r="M363" s="560"/>
    </row>
    <row r="364" spans="3:13" s="338" customFormat="1">
      <c r="C364" s="558"/>
      <c r="D364" s="559"/>
      <c r="E364" s="559"/>
      <c r="F364" s="559"/>
      <c r="G364" s="558"/>
      <c r="H364" s="559"/>
      <c r="I364" s="559"/>
      <c r="J364" s="559"/>
      <c r="K364" s="560"/>
      <c r="L364" s="560"/>
      <c r="M364" s="560"/>
    </row>
    <row r="365" spans="3:13" s="338" customFormat="1">
      <c r="C365" s="558"/>
      <c r="D365" s="559"/>
      <c r="E365" s="559"/>
      <c r="F365" s="559"/>
      <c r="G365" s="558"/>
      <c r="H365" s="559"/>
      <c r="I365" s="559"/>
      <c r="J365" s="559"/>
      <c r="K365" s="560"/>
      <c r="L365" s="560"/>
      <c r="M365" s="560"/>
    </row>
    <row r="366" spans="3:13" s="338" customFormat="1">
      <c r="C366" s="558"/>
      <c r="D366" s="559"/>
      <c r="E366" s="559"/>
      <c r="F366" s="559"/>
      <c r="G366" s="558"/>
      <c r="H366" s="559"/>
      <c r="I366" s="559"/>
      <c r="J366" s="559"/>
      <c r="K366" s="560"/>
      <c r="L366" s="560"/>
      <c r="M366" s="560"/>
    </row>
    <row r="367" spans="3:13" s="338" customFormat="1">
      <c r="C367" s="558"/>
      <c r="D367" s="559"/>
      <c r="E367" s="559"/>
      <c r="F367" s="559"/>
      <c r="G367" s="558"/>
      <c r="H367" s="559"/>
      <c r="I367" s="559"/>
      <c r="J367" s="559"/>
      <c r="K367" s="560"/>
      <c r="L367" s="560"/>
      <c r="M367" s="560"/>
    </row>
    <row r="368" spans="3:13" s="338" customFormat="1">
      <c r="C368" s="558"/>
      <c r="D368" s="559"/>
      <c r="E368" s="559"/>
      <c r="F368" s="559"/>
      <c r="G368" s="558"/>
      <c r="H368" s="559"/>
      <c r="I368" s="559"/>
      <c r="J368" s="559"/>
      <c r="K368" s="560"/>
      <c r="L368" s="560"/>
      <c r="M368" s="560"/>
    </row>
    <row r="369" spans="3:13" s="338" customFormat="1">
      <c r="C369" s="558"/>
      <c r="D369" s="559"/>
      <c r="E369" s="559"/>
      <c r="F369" s="559"/>
      <c r="G369" s="558"/>
      <c r="H369" s="559"/>
      <c r="I369" s="559"/>
      <c r="J369" s="559"/>
      <c r="K369" s="560"/>
      <c r="L369" s="560"/>
      <c r="M369" s="560"/>
    </row>
    <row r="370" spans="3:13" s="338" customFormat="1">
      <c r="C370" s="558"/>
      <c r="D370" s="559"/>
      <c r="E370" s="559"/>
      <c r="F370" s="559"/>
      <c r="G370" s="558"/>
      <c r="H370" s="559"/>
      <c r="I370" s="559"/>
      <c r="J370" s="559"/>
      <c r="K370" s="560"/>
      <c r="L370" s="560"/>
      <c r="M370" s="560"/>
    </row>
    <row r="371" spans="3:13" s="338" customFormat="1">
      <c r="C371" s="558"/>
      <c r="D371" s="559"/>
      <c r="E371" s="559"/>
      <c r="F371" s="559"/>
      <c r="G371" s="558"/>
      <c r="H371" s="559"/>
      <c r="I371" s="559"/>
      <c r="J371" s="559"/>
      <c r="K371" s="560"/>
      <c r="L371" s="560"/>
      <c r="M371" s="560"/>
    </row>
    <row r="372" spans="3:13" s="338" customFormat="1">
      <c r="C372" s="558"/>
      <c r="D372" s="559"/>
      <c r="E372" s="559"/>
      <c r="F372" s="559"/>
      <c r="G372" s="558"/>
      <c r="H372" s="559"/>
      <c r="I372" s="559"/>
      <c r="J372" s="559"/>
      <c r="K372" s="560"/>
      <c r="L372" s="560"/>
      <c r="M372" s="560"/>
    </row>
    <row r="373" spans="3:13" s="338" customFormat="1">
      <c r="C373" s="558"/>
      <c r="D373" s="559"/>
      <c r="E373" s="559"/>
      <c r="F373" s="559"/>
      <c r="G373" s="558"/>
      <c r="H373" s="559"/>
      <c r="I373" s="559"/>
      <c r="J373" s="559"/>
      <c r="K373" s="560"/>
      <c r="L373" s="560"/>
      <c r="M373" s="560"/>
    </row>
    <row r="374" spans="3:13" s="338" customFormat="1">
      <c r="C374" s="558"/>
      <c r="D374" s="559"/>
      <c r="E374" s="559"/>
      <c r="F374" s="559"/>
      <c r="G374" s="558"/>
      <c r="H374" s="559"/>
      <c r="I374" s="559"/>
      <c r="J374" s="559"/>
      <c r="K374" s="560"/>
      <c r="L374" s="560"/>
      <c r="M374" s="560"/>
    </row>
    <row r="375" spans="3:13" s="338" customFormat="1">
      <c r="C375" s="558"/>
      <c r="D375" s="559"/>
      <c r="E375" s="559"/>
      <c r="F375" s="559"/>
      <c r="G375" s="558"/>
      <c r="H375" s="559"/>
      <c r="I375" s="559"/>
      <c r="J375" s="559"/>
      <c r="K375" s="560"/>
      <c r="L375" s="560"/>
      <c r="M375" s="560"/>
    </row>
    <row r="376" spans="3:13" s="338" customFormat="1">
      <c r="C376" s="558"/>
      <c r="D376" s="559"/>
      <c r="E376" s="559"/>
      <c r="F376" s="559"/>
      <c r="G376" s="558"/>
      <c r="H376" s="559"/>
      <c r="I376" s="559"/>
      <c r="J376" s="559"/>
      <c r="K376" s="560"/>
      <c r="L376" s="560"/>
      <c r="M376" s="560"/>
    </row>
    <row r="377" spans="3:13" s="338" customFormat="1">
      <c r="C377" s="558"/>
      <c r="D377" s="559"/>
      <c r="E377" s="559"/>
      <c r="F377" s="559"/>
      <c r="G377" s="558"/>
      <c r="H377" s="559"/>
      <c r="I377" s="559"/>
      <c r="J377" s="559"/>
      <c r="K377" s="560"/>
      <c r="L377" s="560"/>
      <c r="M377" s="560"/>
    </row>
    <row r="378" spans="3:13" s="338" customFormat="1">
      <c r="C378" s="558"/>
      <c r="D378" s="559"/>
      <c r="E378" s="559"/>
      <c r="F378" s="559"/>
      <c r="G378" s="558"/>
      <c r="H378" s="559"/>
      <c r="I378" s="559"/>
      <c r="J378" s="559"/>
      <c r="K378" s="560"/>
      <c r="L378" s="560"/>
      <c r="M378" s="560"/>
    </row>
    <row r="379" spans="3:13" s="338" customFormat="1">
      <c r="C379" s="558"/>
      <c r="D379" s="559"/>
      <c r="E379" s="559"/>
      <c r="F379" s="559"/>
      <c r="G379" s="558"/>
      <c r="H379" s="559"/>
      <c r="I379" s="559"/>
      <c r="J379" s="559"/>
      <c r="K379" s="560"/>
      <c r="L379" s="560"/>
      <c r="M379" s="560"/>
    </row>
    <row r="380" spans="3:13" s="338" customFormat="1">
      <c r="C380" s="558"/>
      <c r="D380" s="559"/>
      <c r="E380" s="559"/>
      <c r="F380" s="559"/>
      <c r="G380" s="558"/>
      <c r="H380" s="559"/>
      <c r="I380" s="559"/>
      <c r="J380" s="559"/>
      <c r="K380" s="560"/>
      <c r="L380" s="560"/>
      <c r="M380" s="560"/>
    </row>
    <row r="381" spans="3:13" s="338" customFormat="1">
      <c r="C381" s="558"/>
      <c r="D381" s="559"/>
      <c r="E381" s="559"/>
      <c r="F381" s="559"/>
      <c r="G381" s="558"/>
      <c r="H381" s="559"/>
      <c r="I381" s="559"/>
      <c r="J381" s="559"/>
      <c r="K381" s="560"/>
      <c r="L381" s="560"/>
      <c r="M381" s="560"/>
    </row>
    <row r="382" spans="3:13" s="338" customFormat="1">
      <c r="C382" s="558"/>
      <c r="D382" s="559"/>
      <c r="E382" s="559"/>
      <c r="F382" s="559"/>
      <c r="G382" s="558"/>
      <c r="H382" s="559"/>
      <c r="I382" s="559"/>
      <c r="J382" s="559"/>
      <c r="K382" s="560"/>
      <c r="L382" s="560"/>
      <c r="M382" s="560"/>
    </row>
    <row r="383" spans="3:13" s="338" customFormat="1">
      <c r="C383" s="558"/>
      <c r="D383" s="559"/>
      <c r="E383" s="559"/>
      <c r="F383" s="559"/>
      <c r="G383" s="558"/>
      <c r="H383" s="559"/>
      <c r="I383" s="559"/>
      <c r="J383" s="559"/>
      <c r="K383" s="560"/>
      <c r="L383" s="560"/>
      <c r="M383" s="560"/>
    </row>
    <row r="384" spans="3:13" s="338" customFormat="1">
      <c r="C384" s="558"/>
      <c r="D384" s="559"/>
      <c r="E384" s="559"/>
      <c r="F384" s="559"/>
      <c r="G384" s="558"/>
      <c r="H384" s="559"/>
      <c r="I384" s="559"/>
      <c r="J384" s="559"/>
      <c r="K384" s="560"/>
      <c r="L384" s="560"/>
      <c r="M384" s="560"/>
    </row>
    <row r="385" spans="3:13" s="338" customFormat="1">
      <c r="C385" s="558"/>
      <c r="D385" s="559"/>
      <c r="E385" s="559"/>
      <c r="F385" s="559"/>
      <c r="G385" s="558"/>
      <c r="H385" s="559"/>
      <c r="I385" s="559"/>
      <c r="J385" s="559"/>
      <c r="K385" s="560"/>
      <c r="L385" s="560"/>
      <c r="M385" s="560"/>
    </row>
    <row r="386" spans="3:13" s="338" customFormat="1">
      <c r="C386" s="558"/>
      <c r="D386" s="559"/>
      <c r="E386" s="559"/>
      <c r="F386" s="559"/>
      <c r="G386" s="558"/>
      <c r="H386" s="559"/>
      <c r="I386" s="559"/>
      <c r="J386" s="559"/>
      <c r="K386" s="560"/>
      <c r="L386" s="560"/>
      <c r="M386" s="560"/>
    </row>
    <row r="387" spans="3:13" s="338" customFormat="1">
      <c r="C387" s="558"/>
      <c r="D387" s="559"/>
      <c r="E387" s="559"/>
      <c r="F387" s="559"/>
      <c r="G387" s="558"/>
      <c r="H387" s="559"/>
      <c r="I387" s="559"/>
      <c r="J387" s="559"/>
      <c r="K387" s="560"/>
      <c r="L387" s="560"/>
      <c r="M387" s="560"/>
    </row>
    <row r="388" spans="3:13" s="338" customFormat="1">
      <c r="C388" s="558"/>
      <c r="D388" s="559"/>
      <c r="E388" s="559"/>
      <c r="F388" s="559"/>
      <c r="G388" s="558"/>
      <c r="H388" s="559"/>
      <c r="I388" s="559"/>
      <c r="J388" s="559"/>
      <c r="K388" s="560"/>
      <c r="L388" s="560"/>
      <c r="M388" s="560"/>
    </row>
    <row r="389" spans="3:13" s="338" customFormat="1">
      <c r="C389" s="558"/>
      <c r="D389" s="559"/>
      <c r="E389" s="559"/>
      <c r="F389" s="559"/>
      <c r="G389" s="558"/>
      <c r="H389" s="559"/>
      <c r="I389" s="559"/>
      <c r="J389" s="559"/>
      <c r="K389" s="560"/>
      <c r="L389" s="560"/>
      <c r="M389" s="560"/>
    </row>
    <row r="390" spans="3:13" s="338" customFormat="1">
      <c r="C390" s="558"/>
      <c r="D390" s="559"/>
      <c r="E390" s="559"/>
      <c r="F390" s="559"/>
      <c r="G390" s="558"/>
      <c r="H390" s="559"/>
      <c r="I390" s="559"/>
      <c r="J390" s="559"/>
      <c r="K390" s="560"/>
      <c r="L390" s="560"/>
      <c r="M390" s="560"/>
    </row>
    <row r="391" spans="3:13" s="338" customFormat="1">
      <c r="C391" s="558"/>
      <c r="D391" s="559"/>
      <c r="E391" s="559"/>
      <c r="F391" s="559"/>
      <c r="G391" s="558"/>
      <c r="H391" s="559"/>
      <c r="I391" s="559"/>
      <c r="J391" s="559"/>
      <c r="K391" s="560"/>
      <c r="L391" s="560"/>
      <c r="M391" s="560"/>
    </row>
    <row r="392" spans="3:13" s="338" customFormat="1">
      <c r="C392" s="558"/>
      <c r="D392" s="559"/>
      <c r="E392" s="559"/>
      <c r="F392" s="559"/>
      <c r="G392" s="558"/>
      <c r="H392" s="559"/>
      <c r="I392" s="559"/>
      <c r="J392" s="559"/>
      <c r="K392" s="560"/>
      <c r="L392" s="560"/>
      <c r="M392" s="560"/>
    </row>
    <row r="393" spans="3:13" s="338" customFormat="1">
      <c r="C393" s="558"/>
      <c r="D393" s="559"/>
      <c r="E393" s="559"/>
      <c r="F393" s="559"/>
      <c r="G393" s="558"/>
      <c r="H393" s="559"/>
      <c r="I393" s="559"/>
      <c r="J393" s="559"/>
      <c r="K393" s="560"/>
      <c r="L393" s="560"/>
      <c r="M393" s="560"/>
    </row>
    <row r="394" spans="3:13" s="338" customFormat="1">
      <c r="C394" s="558"/>
      <c r="D394" s="559"/>
      <c r="E394" s="559"/>
      <c r="F394" s="559"/>
      <c r="G394" s="558"/>
      <c r="H394" s="559"/>
      <c r="I394" s="559"/>
      <c r="J394" s="559"/>
      <c r="K394" s="560"/>
      <c r="L394" s="560"/>
      <c r="M394" s="560"/>
    </row>
    <row r="395" spans="3:13" s="338" customFormat="1">
      <c r="C395" s="558"/>
      <c r="D395" s="559"/>
      <c r="E395" s="559"/>
      <c r="F395" s="559"/>
      <c r="G395" s="558"/>
      <c r="H395" s="559"/>
      <c r="I395" s="559"/>
      <c r="J395" s="559"/>
      <c r="K395" s="560"/>
      <c r="L395" s="560"/>
      <c r="M395" s="560"/>
    </row>
    <row r="396" spans="3:13" s="338" customFormat="1">
      <c r="C396" s="558"/>
      <c r="D396" s="559"/>
      <c r="E396" s="559"/>
      <c r="F396" s="559"/>
      <c r="G396" s="558"/>
      <c r="H396" s="559"/>
      <c r="I396" s="559"/>
      <c r="J396" s="559"/>
      <c r="K396" s="560"/>
      <c r="L396" s="560"/>
      <c r="M396" s="560"/>
    </row>
    <row r="397" spans="3:13" s="338" customFormat="1">
      <c r="C397" s="558"/>
      <c r="D397" s="559"/>
      <c r="E397" s="559"/>
      <c r="F397" s="559"/>
      <c r="G397" s="558"/>
      <c r="H397" s="559"/>
      <c r="I397" s="559"/>
      <c r="J397" s="559"/>
      <c r="K397" s="560"/>
      <c r="L397" s="560"/>
      <c r="M397" s="560"/>
    </row>
    <row r="398" spans="3:13" s="338" customFormat="1">
      <c r="C398" s="558"/>
      <c r="D398" s="559"/>
      <c r="E398" s="559"/>
      <c r="F398" s="559"/>
      <c r="G398" s="558"/>
      <c r="H398" s="559"/>
      <c r="I398" s="559"/>
      <c r="J398" s="559"/>
      <c r="K398" s="560"/>
      <c r="L398" s="560"/>
      <c r="M398" s="560"/>
    </row>
    <row r="399" spans="3:13" s="338" customFormat="1">
      <c r="C399" s="558"/>
      <c r="D399" s="559"/>
      <c r="E399" s="559"/>
      <c r="F399" s="559"/>
      <c r="G399" s="558"/>
      <c r="H399" s="559"/>
      <c r="I399" s="559"/>
      <c r="J399" s="559"/>
      <c r="K399" s="560"/>
      <c r="L399" s="560"/>
      <c r="M399" s="560"/>
    </row>
    <row r="400" spans="3:13" s="338" customFormat="1">
      <c r="C400" s="558"/>
      <c r="D400" s="559"/>
      <c r="E400" s="559"/>
      <c r="F400" s="559"/>
      <c r="G400" s="558"/>
      <c r="H400" s="559"/>
      <c r="I400" s="559"/>
      <c r="J400" s="559"/>
      <c r="K400" s="560"/>
      <c r="L400" s="560"/>
      <c r="M400" s="560"/>
    </row>
    <row r="401" spans="3:13" s="338" customFormat="1">
      <c r="C401" s="558"/>
      <c r="D401" s="559"/>
      <c r="E401" s="559"/>
      <c r="F401" s="559"/>
      <c r="G401" s="558"/>
      <c r="H401" s="559"/>
      <c r="I401" s="559"/>
      <c r="J401" s="559"/>
      <c r="K401" s="560"/>
      <c r="L401" s="560"/>
      <c r="M401" s="560"/>
    </row>
    <row r="402" spans="3:13" s="338" customFormat="1">
      <c r="C402" s="558"/>
      <c r="D402" s="559"/>
      <c r="E402" s="559"/>
      <c r="F402" s="559"/>
      <c r="G402" s="558"/>
      <c r="H402" s="559"/>
      <c r="I402" s="559"/>
      <c r="J402" s="559"/>
      <c r="K402" s="560"/>
      <c r="L402" s="560"/>
      <c r="M402" s="560"/>
    </row>
    <row r="403" spans="3:13" s="338" customFormat="1">
      <c r="C403" s="558"/>
      <c r="D403" s="559"/>
      <c r="E403" s="559"/>
      <c r="F403" s="559"/>
      <c r="G403" s="558"/>
      <c r="H403" s="559"/>
      <c r="I403" s="559"/>
      <c r="J403" s="559"/>
      <c r="K403" s="560"/>
      <c r="L403" s="560"/>
      <c r="M403" s="560"/>
    </row>
    <row r="404" spans="3:13" s="338" customFormat="1">
      <c r="C404" s="558"/>
      <c r="D404" s="559"/>
      <c r="E404" s="559"/>
      <c r="F404" s="559"/>
      <c r="G404" s="558"/>
      <c r="H404" s="559"/>
      <c r="I404" s="559"/>
      <c r="J404" s="559"/>
      <c r="K404" s="560"/>
      <c r="L404" s="560"/>
      <c r="M404" s="560"/>
    </row>
    <row r="405" spans="3:13" s="338" customFormat="1">
      <c r="C405" s="558"/>
      <c r="D405" s="559"/>
      <c r="E405" s="559"/>
      <c r="F405" s="559"/>
      <c r="G405" s="558"/>
      <c r="H405" s="559"/>
      <c r="I405" s="559"/>
      <c r="J405" s="559"/>
      <c r="K405" s="560"/>
      <c r="L405" s="560"/>
      <c r="M405" s="560"/>
    </row>
    <row r="406" spans="3:13" s="338" customFormat="1">
      <c r="C406" s="558"/>
      <c r="D406" s="559"/>
      <c r="E406" s="559"/>
      <c r="F406" s="559"/>
      <c r="G406" s="558"/>
      <c r="H406" s="559"/>
      <c r="I406" s="559"/>
      <c r="J406" s="559"/>
      <c r="K406" s="560"/>
      <c r="L406" s="560"/>
      <c r="M406" s="560"/>
    </row>
    <row r="407" spans="3:13" s="338" customFormat="1">
      <c r="C407" s="558"/>
      <c r="D407" s="559"/>
      <c r="E407" s="559"/>
      <c r="F407" s="559"/>
      <c r="G407" s="558"/>
      <c r="H407" s="559"/>
      <c r="I407" s="559"/>
      <c r="J407" s="559"/>
      <c r="K407" s="560"/>
      <c r="L407" s="560"/>
      <c r="M407" s="560"/>
    </row>
    <row r="408" spans="3:13" s="338" customFormat="1">
      <c r="C408" s="558"/>
      <c r="D408" s="559"/>
      <c r="E408" s="559"/>
      <c r="F408" s="559"/>
      <c r="G408" s="558"/>
      <c r="H408" s="559"/>
      <c r="I408" s="559"/>
      <c r="J408" s="559"/>
      <c r="K408" s="560"/>
      <c r="L408" s="560"/>
      <c r="M408" s="560"/>
    </row>
    <row r="409" spans="3:13" s="338" customFormat="1">
      <c r="C409" s="558"/>
      <c r="D409" s="559"/>
      <c r="E409" s="559"/>
      <c r="F409" s="559"/>
      <c r="G409" s="558"/>
      <c r="H409" s="559"/>
      <c r="I409" s="559"/>
      <c r="J409" s="559"/>
      <c r="K409" s="560"/>
      <c r="L409" s="560"/>
      <c r="M409" s="560"/>
    </row>
    <row r="410" spans="3:13" s="338" customFormat="1">
      <c r="C410" s="558"/>
      <c r="D410" s="559"/>
      <c r="E410" s="559"/>
      <c r="F410" s="559"/>
      <c r="G410" s="558"/>
      <c r="H410" s="559"/>
      <c r="I410" s="559"/>
      <c r="J410" s="559"/>
      <c r="K410" s="560"/>
      <c r="L410" s="560"/>
      <c r="M410" s="560"/>
    </row>
    <row r="411" spans="3:13" s="338" customFormat="1">
      <c r="C411" s="558"/>
      <c r="D411" s="559"/>
      <c r="E411" s="559"/>
      <c r="F411" s="559"/>
      <c r="G411" s="558"/>
      <c r="H411" s="559"/>
      <c r="I411" s="559"/>
      <c r="J411" s="559"/>
      <c r="K411" s="560"/>
      <c r="L411" s="560"/>
      <c r="M411" s="560"/>
    </row>
    <row r="412" spans="3:13" s="338" customFormat="1">
      <c r="C412" s="558"/>
      <c r="D412" s="559"/>
      <c r="E412" s="559"/>
      <c r="F412" s="559"/>
      <c r="G412" s="558"/>
      <c r="H412" s="559"/>
      <c r="I412" s="559"/>
      <c r="J412" s="559"/>
      <c r="K412" s="560"/>
      <c r="L412" s="560"/>
      <c r="M412" s="560"/>
    </row>
    <row r="413" spans="3:13" s="338" customFormat="1">
      <c r="C413" s="558"/>
      <c r="D413" s="559"/>
      <c r="E413" s="559"/>
      <c r="F413" s="559"/>
      <c r="G413" s="558"/>
      <c r="H413" s="559"/>
      <c r="I413" s="559"/>
      <c r="J413" s="559"/>
      <c r="K413" s="560"/>
      <c r="L413" s="560"/>
      <c r="M413" s="560"/>
    </row>
    <row r="414" spans="3:13" s="338" customFormat="1">
      <c r="C414" s="558"/>
      <c r="D414" s="559"/>
      <c r="E414" s="559"/>
      <c r="F414" s="559"/>
      <c r="G414" s="558"/>
      <c r="H414" s="559"/>
      <c r="I414" s="559"/>
      <c r="J414" s="559"/>
      <c r="K414" s="560"/>
      <c r="L414" s="560"/>
      <c r="M414" s="560"/>
    </row>
    <row r="415" spans="3:13" s="338" customFormat="1">
      <c r="C415" s="558"/>
      <c r="D415" s="559"/>
      <c r="E415" s="559"/>
      <c r="F415" s="559"/>
      <c r="G415" s="558"/>
      <c r="H415" s="559"/>
      <c r="I415" s="559"/>
      <c r="J415" s="559"/>
      <c r="K415" s="560"/>
      <c r="L415" s="560"/>
      <c r="M415" s="560"/>
    </row>
    <row r="416" spans="3:13" s="338" customFormat="1">
      <c r="C416" s="558"/>
      <c r="D416" s="559"/>
      <c r="E416" s="559"/>
      <c r="F416" s="559"/>
      <c r="G416" s="558"/>
      <c r="H416" s="559"/>
      <c r="I416" s="559"/>
      <c r="J416" s="559"/>
      <c r="K416" s="560"/>
      <c r="L416" s="560"/>
      <c r="M416" s="560"/>
    </row>
    <row r="417" spans="3:13" s="338" customFormat="1">
      <c r="C417" s="558"/>
      <c r="D417" s="559"/>
      <c r="E417" s="559"/>
      <c r="F417" s="559"/>
      <c r="G417" s="558"/>
      <c r="H417" s="559"/>
      <c r="I417" s="559"/>
      <c r="J417" s="559"/>
      <c r="K417" s="560"/>
      <c r="L417" s="560"/>
      <c r="M417" s="560"/>
    </row>
    <row r="418" spans="3:13" s="338" customFormat="1">
      <c r="C418" s="558"/>
      <c r="D418" s="559"/>
      <c r="E418" s="559"/>
      <c r="F418" s="559"/>
      <c r="G418" s="558"/>
      <c r="H418" s="559"/>
      <c r="I418" s="559"/>
      <c r="J418" s="559"/>
      <c r="K418" s="560"/>
      <c r="L418" s="560"/>
      <c r="M418" s="560"/>
    </row>
    <row r="419" spans="3:13" s="338" customFormat="1">
      <c r="C419" s="558"/>
      <c r="D419" s="559"/>
      <c r="E419" s="559"/>
      <c r="F419" s="559"/>
      <c r="G419" s="558"/>
      <c r="H419" s="559"/>
      <c r="I419" s="559"/>
      <c r="J419" s="559"/>
      <c r="K419" s="560"/>
      <c r="L419" s="560"/>
      <c r="M419" s="560"/>
    </row>
    <row r="420" spans="3:13" s="338" customFormat="1">
      <c r="C420" s="558"/>
      <c r="D420" s="559"/>
      <c r="E420" s="559"/>
      <c r="F420" s="559"/>
      <c r="G420" s="558"/>
      <c r="H420" s="559"/>
      <c r="I420" s="559"/>
      <c r="J420" s="559"/>
      <c r="K420" s="560"/>
      <c r="L420" s="560"/>
      <c r="M420" s="560"/>
    </row>
    <row r="421" spans="3:13" s="338" customFormat="1">
      <c r="C421" s="558"/>
      <c r="D421" s="559"/>
      <c r="E421" s="559"/>
      <c r="F421" s="559"/>
      <c r="G421" s="558"/>
      <c r="H421" s="559"/>
      <c r="I421" s="559"/>
      <c r="J421" s="559"/>
      <c r="K421" s="560"/>
      <c r="L421" s="560"/>
      <c r="M421" s="560"/>
    </row>
    <row r="422" spans="3:13" s="338" customFormat="1">
      <c r="C422" s="558"/>
      <c r="D422" s="559"/>
      <c r="E422" s="559"/>
      <c r="F422" s="559"/>
      <c r="G422" s="558"/>
      <c r="H422" s="559"/>
      <c r="I422" s="559"/>
      <c r="J422" s="559"/>
      <c r="K422" s="560"/>
      <c r="L422" s="560"/>
      <c r="M422" s="560"/>
    </row>
    <row r="423" spans="3:13" s="338" customFormat="1">
      <c r="C423" s="558"/>
      <c r="D423" s="559"/>
      <c r="E423" s="559"/>
      <c r="F423" s="559"/>
      <c r="G423" s="558"/>
      <c r="H423" s="559"/>
      <c r="I423" s="559"/>
      <c r="J423" s="559"/>
      <c r="K423" s="560"/>
      <c r="L423" s="560"/>
      <c r="M423" s="560"/>
    </row>
    <row r="424" spans="3:13" s="338" customFormat="1">
      <c r="C424" s="558"/>
      <c r="D424" s="559"/>
      <c r="E424" s="559"/>
      <c r="F424" s="559"/>
      <c r="G424" s="558"/>
      <c r="H424" s="559"/>
      <c r="I424" s="559"/>
      <c r="J424" s="559"/>
      <c r="K424" s="560"/>
      <c r="L424" s="560"/>
      <c r="M424" s="560"/>
    </row>
    <row r="425" spans="3:13" s="338" customFormat="1">
      <c r="C425" s="558"/>
      <c r="D425" s="559"/>
      <c r="E425" s="559"/>
      <c r="F425" s="559"/>
      <c r="G425" s="558"/>
      <c r="H425" s="559"/>
      <c r="I425" s="559"/>
      <c r="J425" s="559"/>
      <c r="K425" s="560"/>
      <c r="L425" s="560"/>
      <c r="M425" s="560"/>
    </row>
    <row r="426" spans="3:13" s="338" customFormat="1">
      <c r="C426" s="558"/>
      <c r="D426" s="559"/>
      <c r="E426" s="559"/>
      <c r="F426" s="559"/>
      <c r="G426" s="558"/>
      <c r="H426" s="559"/>
      <c r="I426" s="559"/>
      <c r="J426" s="559"/>
      <c r="K426" s="560"/>
      <c r="L426" s="560"/>
      <c r="M426" s="560"/>
    </row>
    <row r="427" spans="3:13" s="338" customFormat="1">
      <c r="C427" s="558"/>
      <c r="D427" s="559"/>
      <c r="E427" s="559"/>
      <c r="F427" s="559"/>
      <c r="G427" s="558"/>
      <c r="H427" s="559"/>
      <c r="I427" s="559"/>
      <c r="J427" s="559"/>
      <c r="K427" s="560"/>
      <c r="L427" s="560"/>
      <c r="M427" s="560"/>
    </row>
    <row r="428" spans="3:13" s="338" customFormat="1">
      <c r="C428" s="558"/>
      <c r="D428" s="559"/>
      <c r="E428" s="559"/>
      <c r="F428" s="559"/>
      <c r="G428" s="558"/>
      <c r="H428" s="559"/>
      <c r="I428" s="559"/>
      <c r="J428" s="559"/>
      <c r="K428" s="560"/>
      <c r="L428" s="560"/>
      <c r="M428" s="560"/>
    </row>
    <row r="429" spans="3:13" s="338" customFormat="1">
      <c r="C429" s="558"/>
      <c r="D429" s="559"/>
      <c r="E429" s="559"/>
      <c r="F429" s="559"/>
      <c r="G429" s="558"/>
      <c r="H429" s="559"/>
      <c r="I429" s="559"/>
      <c r="J429" s="559"/>
      <c r="K429" s="560"/>
      <c r="L429" s="560"/>
      <c r="M429" s="560"/>
    </row>
    <row r="430" spans="3:13" s="338" customFormat="1">
      <c r="C430" s="558"/>
      <c r="D430" s="559"/>
      <c r="E430" s="559"/>
      <c r="F430" s="559"/>
      <c r="G430" s="558"/>
      <c r="H430" s="559"/>
      <c r="I430" s="559"/>
      <c r="J430" s="559"/>
      <c r="K430" s="560"/>
      <c r="L430" s="560"/>
      <c r="M430" s="560"/>
    </row>
    <row r="431" spans="3:13" s="338" customFormat="1">
      <c r="C431" s="558"/>
      <c r="D431" s="559"/>
      <c r="E431" s="559"/>
      <c r="F431" s="559"/>
      <c r="G431" s="558"/>
      <c r="H431" s="559"/>
      <c r="I431" s="559"/>
      <c r="J431" s="559"/>
      <c r="K431" s="560"/>
      <c r="L431" s="560"/>
      <c r="M431" s="560"/>
    </row>
    <row r="432" spans="3:13" s="338" customFormat="1">
      <c r="C432" s="558"/>
      <c r="D432" s="559"/>
      <c r="E432" s="559"/>
      <c r="F432" s="559"/>
      <c r="G432" s="558"/>
      <c r="H432" s="559"/>
      <c r="I432" s="559"/>
      <c r="J432" s="559"/>
      <c r="K432" s="560"/>
      <c r="L432" s="560"/>
      <c r="M432" s="560"/>
    </row>
    <row r="433" spans="3:13" s="338" customFormat="1">
      <c r="C433" s="558"/>
      <c r="D433" s="559"/>
      <c r="E433" s="559"/>
      <c r="F433" s="559"/>
      <c r="G433" s="558"/>
      <c r="H433" s="559"/>
      <c r="I433" s="559"/>
      <c r="J433" s="559"/>
      <c r="K433" s="560"/>
      <c r="L433" s="560"/>
      <c r="M433" s="560"/>
    </row>
    <row r="434" spans="3:13" s="338" customFormat="1">
      <c r="C434" s="558"/>
      <c r="D434" s="559"/>
      <c r="E434" s="559"/>
      <c r="F434" s="559"/>
      <c r="G434" s="558"/>
      <c r="H434" s="559"/>
      <c r="I434" s="559"/>
      <c r="J434" s="559"/>
      <c r="K434" s="560"/>
      <c r="L434" s="560"/>
      <c r="M434" s="560"/>
    </row>
    <row r="435" spans="3:13" s="338" customFormat="1">
      <c r="C435" s="558"/>
      <c r="D435" s="559"/>
      <c r="E435" s="559"/>
      <c r="F435" s="559"/>
      <c r="G435" s="558"/>
      <c r="H435" s="559"/>
      <c r="I435" s="559"/>
      <c r="J435" s="559"/>
      <c r="K435" s="560"/>
      <c r="L435" s="560"/>
      <c r="M435" s="560"/>
    </row>
    <row r="436" spans="3:13" s="338" customFormat="1">
      <c r="C436" s="558"/>
      <c r="D436" s="559"/>
      <c r="E436" s="559"/>
      <c r="F436" s="559"/>
      <c r="G436" s="558"/>
      <c r="H436" s="559"/>
      <c r="I436" s="559"/>
      <c r="J436" s="559"/>
      <c r="K436" s="560"/>
      <c r="L436" s="560"/>
      <c r="M436" s="560"/>
    </row>
    <row r="437" spans="3:13" s="338" customFormat="1">
      <c r="C437" s="558"/>
      <c r="D437" s="559"/>
      <c r="E437" s="559"/>
      <c r="F437" s="559"/>
      <c r="G437" s="558"/>
      <c r="H437" s="559"/>
      <c r="I437" s="559"/>
      <c r="J437" s="559"/>
      <c r="K437" s="560"/>
      <c r="L437" s="560"/>
      <c r="M437" s="560"/>
    </row>
    <row r="438" spans="3:13" s="338" customFormat="1">
      <c r="C438" s="558"/>
      <c r="D438" s="559"/>
      <c r="E438" s="559"/>
      <c r="F438" s="559"/>
      <c r="G438" s="558"/>
      <c r="H438" s="559"/>
      <c r="I438" s="559"/>
      <c r="J438" s="559"/>
      <c r="K438" s="560"/>
      <c r="L438" s="560"/>
      <c r="M438" s="560"/>
    </row>
    <row r="439" spans="3:13" s="338" customFormat="1">
      <c r="C439" s="558"/>
      <c r="D439" s="559"/>
      <c r="E439" s="559"/>
      <c r="F439" s="559"/>
      <c r="G439" s="558"/>
      <c r="H439" s="559"/>
      <c r="I439" s="559"/>
      <c r="J439" s="559"/>
      <c r="K439" s="560"/>
      <c r="L439" s="560"/>
      <c r="M439" s="560"/>
    </row>
    <row r="440" spans="3:13" s="338" customFormat="1">
      <c r="C440" s="558"/>
      <c r="D440" s="559"/>
      <c r="E440" s="559"/>
      <c r="F440" s="559"/>
      <c r="G440" s="558"/>
      <c r="H440" s="559"/>
      <c r="I440" s="559"/>
      <c r="J440" s="559"/>
      <c r="K440" s="560"/>
      <c r="L440" s="560"/>
      <c r="M440" s="560"/>
    </row>
    <row r="441" spans="3:13" s="338" customFormat="1">
      <c r="C441" s="558"/>
      <c r="D441" s="559"/>
      <c r="E441" s="559"/>
      <c r="F441" s="559"/>
      <c r="G441" s="558"/>
      <c r="H441" s="559"/>
      <c r="I441" s="559"/>
      <c r="J441" s="559"/>
      <c r="K441" s="560"/>
      <c r="L441" s="560"/>
      <c r="M441" s="560"/>
    </row>
    <row r="442" spans="3:13" s="338" customFormat="1">
      <c r="C442" s="558"/>
      <c r="D442" s="559"/>
      <c r="E442" s="559"/>
      <c r="F442" s="559"/>
      <c r="G442" s="558"/>
      <c r="H442" s="559"/>
      <c r="I442" s="559"/>
      <c r="J442" s="559"/>
      <c r="K442" s="560"/>
      <c r="L442" s="560"/>
      <c r="M442" s="560"/>
    </row>
    <row r="443" spans="3:13" s="338" customFormat="1">
      <c r="C443" s="558"/>
      <c r="D443" s="559"/>
      <c r="E443" s="559"/>
      <c r="F443" s="559"/>
      <c r="G443" s="558"/>
      <c r="H443" s="559"/>
      <c r="I443" s="559"/>
      <c r="J443" s="559"/>
      <c r="K443" s="560"/>
      <c r="L443" s="560"/>
      <c r="M443" s="560"/>
    </row>
    <row r="444" spans="3:13" s="338" customFormat="1">
      <c r="C444" s="558"/>
      <c r="D444" s="559"/>
      <c r="E444" s="559"/>
      <c r="F444" s="559"/>
      <c r="G444" s="558"/>
      <c r="H444" s="559"/>
      <c r="I444" s="559"/>
      <c r="J444" s="559"/>
      <c r="K444" s="560"/>
      <c r="L444" s="560"/>
      <c r="M444" s="560"/>
    </row>
    <row r="445" spans="3:13" s="338" customFormat="1">
      <c r="C445" s="558"/>
      <c r="D445" s="559"/>
      <c r="E445" s="559"/>
      <c r="F445" s="559"/>
      <c r="G445" s="558"/>
      <c r="H445" s="559"/>
      <c r="I445" s="559"/>
      <c r="J445" s="559"/>
      <c r="K445" s="560"/>
      <c r="L445" s="560"/>
      <c r="M445" s="560"/>
    </row>
    <row r="446" spans="3:13" s="338" customFormat="1">
      <c r="C446" s="558"/>
      <c r="D446" s="559"/>
      <c r="E446" s="559"/>
      <c r="F446" s="559"/>
      <c r="G446" s="558"/>
      <c r="H446" s="559"/>
      <c r="I446" s="559"/>
      <c r="J446" s="559"/>
      <c r="K446" s="560"/>
      <c r="L446" s="560"/>
      <c r="M446" s="560"/>
    </row>
    <row r="447" spans="3:13" s="338" customFormat="1">
      <c r="C447" s="558"/>
      <c r="D447" s="559"/>
      <c r="E447" s="559"/>
      <c r="F447" s="559"/>
      <c r="G447" s="558"/>
      <c r="H447" s="559"/>
      <c r="I447" s="559"/>
      <c r="J447" s="559"/>
      <c r="K447" s="560"/>
      <c r="L447" s="560"/>
      <c r="M447" s="560"/>
    </row>
    <row r="448" spans="3:13" s="338" customFormat="1">
      <c r="C448" s="558"/>
      <c r="D448" s="559"/>
      <c r="E448" s="559"/>
      <c r="F448" s="559"/>
      <c r="G448" s="558"/>
      <c r="H448" s="559"/>
      <c r="I448" s="559"/>
      <c r="J448" s="559"/>
      <c r="K448" s="560"/>
      <c r="L448" s="560"/>
      <c r="M448" s="560"/>
    </row>
    <row r="449" spans="3:13" s="338" customFormat="1">
      <c r="C449" s="558"/>
      <c r="D449" s="559"/>
      <c r="E449" s="559"/>
      <c r="F449" s="559"/>
      <c r="G449" s="558"/>
      <c r="H449" s="559"/>
      <c r="I449" s="559"/>
      <c r="J449" s="559"/>
      <c r="K449" s="560"/>
      <c r="L449" s="560"/>
      <c r="M449" s="560"/>
    </row>
    <row r="450" spans="3:13" s="338" customFormat="1">
      <c r="C450" s="558"/>
      <c r="D450" s="559"/>
      <c r="E450" s="559"/>
      <c r="F450" s="559"/>
      <c r="G450" s="558"/>
      <c r="H450" s="559"/>
      <c r="I450" s="559"/>
      <c r="J450" s="559"/>
      <c r="K450" s="560"/>
      <c r="L450" s="560"/>
      <c r="M450" s="560"/>
    </row>
    <row r="451" spans="3:13" s="338" customFormat="1">
      <c r="C451" s="558"/>
      <c r="D451" s="559"/>
      <c r="E451" s="559"/>
      <c r="F451" s="559"/>
      <c r="G451" s="558"/>
      <c r="H451" s="559"/>
      <c r="I451" s="559"/>
      <c r="J451" s="559"/>
      <c r="K451" s="560"/>
      <c r="L451" s="560"/>
      <c r="M451" s="560"/>
    </row>
    <row r="452" spans="3:13" s="338" customFormat="1">
      <c r="C452" s="558"/>
      <c r="D452" s="559"/>
      <c r="E452" s="559"/>
      <c r="F452" s="559"/>
      <c r="G452" s="558"/>
      <c r="H452" s="559"/>
      <c r="I452" s="559"/>
      <c r="J452" s="559"/>
      <c r="K452" s="560"/>
      <c r="L452" s="560"/>
      <c r="M452" s="560"/>
    </row>
    <row r="453" spans="3:13" s="338" customFormat="1">
      <c r="C453" s="558"/>
      <c r="D453" s="559"/>
      <c r="E453" s="559"/>
      <c r="F453" s="559"/>
      <c r="G453" s="558"/>
      <c r="H453" s="559"/>
      <c r="I453" s="559"/>
      <c r="J453" s="559"/>
      <c r="K453" s="560"/>
      <c r="L453" s="560"/>
      <c r="M453" s="560"/>
    </row>
    <row r="454" spans="3:13" s="338" customFormat="1">
      <c r="C454" s="558"/>
      <c r="D454" s="559"/>
      <c r="E454" s="559"/>
      <c r="F454" s="559"/>
      <c r="G454" s="558"/>
      <c r="H454" s="559"/>
      <c r="I454" s="559"/>
      <c r="J454" s="559"/>
      <c r="K454" s="560"/>
      <c r="L454" s="560"/>
      <c r="M454" s="560"/>
    </row>
    <row r="455" spans="3:13" s="338" customFormat="1">
      <c r="C455" s="558"/>
      <c r="D455" s="559"/>
      <c r="E455" s="559"/>
      <c r="F455" s="559"/>
      <c r="G455" s="558"/>
      <c r="H455" s="559"/>
      <c r="I455" s="559"/>
      <c r="J455" s="559"/>
      <c r="K455" s="560"/>
      <c r="L455" s="560"/>
      <c r="M455" s="560"/>
    </row>
    <row r="456" spans="3:13" s="338" customFormat="1">
      <c r="C456" s="558"/>
      <c r="D456" s="559"/>
      <c r="E456" s="559"/>
      <c r="F456" s="559"/>
      <c r="G456" s="558"/>
      <c r="H456" s="559"/>
      <c r="I456" s="559"/>
      <c r="J456" s="559"/>
      <c r="K456" s="560"/>
      <c r="L456" s="560"/>
      <c r="M456" s="560"/>
    </row>
    <row r="457" spans="3:13" s="338" customFormat="1">
      <c r="C457" s="558"/>
      <c r="D457" s="559"/>
      <c r="E457" s="559"/>
      <c r="F457" s="559"/>
      <c r="G457" s="558"/>
      <c r="H457" s="559"/>
      <c r="I457" s="559"/>
      <c r="J457" s="559"/>
      <c r="K457" s="560"/>
      <c r="L457" s="560"/>
      <c r="M457" s="560"/>
    </row>
    <row r="458" spans="3:13" s="338" customFormat="1">
      <c r="C458" s="558"/>
      <c r="D458" s="559"/>
      <c r="E458" s="559"/>
      <c r="F458" s="559"/>
      <c r="G458" s="558"/>
      <c r="H458" s="559"/>
      <c r="I458" s="559"/>
      <c r="J458" s="559"/>
      <c r="K458" s="560"/>
      <c r="L458" s="560"/>
      <c r="M458" s="560"/>
    </row>
    <row r="459" spans="3:13" s="338" customFormat="1">
      <c r="C459" s="558"/>
      <c r="D459" s="559"/>
      <c r="E459" s="559"/>
      <c r="F459" s="559"/>
      <c r="G459" s="558"/>
      <c r="H459" s="559"/>
      <c r="I459" s="559"/>
      <c r="J459" s="559"/>
      <c r="K459" s="560"/>
      <c r="L459" s="560"/>
      <c r="M459" s="560"/>
    </row>
    <row r="460" spans="3:13" s="338" customFormat="1">
      <c r="C460" s="558"/>
      <c r="D460" s="559"/>
      <c r="E460" s="559"/>
      <c r="F460" s="559"/>
      <c r="G460" s="558"/>
      <c r="H460" s="559"/>
      <c r="I460" s="559"/>
      <c r="J460" s="559"/>
      <c r="K460" s="560"/>
      <c r="L460" s="560"/>
      <c r="M460" s="560"/>
    </row>
    <row r="461" spans="3:13" s="338" customFormat="1">
      <c r="C461" s="558"/>
      <c r="D461" s="559"/>
      <c r="E461" s="559"/>
      <c r="F461" s="559"/>
      <c r="G461" s="558"/>
      <c r="H461" s="559"/>
      <c r="I461" s="559"/>
      <c r="J461" s="559"/>
      <c r="K461" s="560"/>
      <c r="L461" s="560"/>
      <c r="M461" s="560"/>
    </row>
    <row r="462" spans="3:13" s="338" customFormat="1">
      <c r="C462" s="558"/>
      <c r="D462" s="559"/>
      <c r="E462" s="559"/>
      <c r="F462" s="559"/>
      <c r="G462" s="558"/>
      <c r="H462" s="559"/>
      <c r="I462" s="559"/>
      <c r="J462" s="559"/>
      <c r="K462" s="560"/>
      <c r="L462" s="560"/>
      <c r="M462" s="560"/>
    </row>
    <row r="463" spans="3:13" s="338" customFormat="1">
      <c r="C463" s="558"/>
      <c r="D463" s="559"/>
      <c r="E463" s="559"/>
      <c r="F463" s="559"/>
      <c r="G463" s="558"/>
      <c r="H463" s="559"/>
      <c r="I463" s="559"/>
      <c r="J463" s="559"/>
      <c r="K463" s="560"/>
      <c r="L463" s="560"/>
      <c r="M463" s="560"/>
    </row>
    <row r="464" spans="3:13" s="338" customFormat="1">
      <c r="C464" s="558"/>
      <c r="D464" s="559"/>
      <c r="E464" s="559"/>
      <c r="F464" s="559"/>
      <c r="G464" s="558"/>
      <c r="H464" s="559"/>
      <c r="I464" s="559"/>
      <c r="J464" s="559"/>
      <c r="K464" s="560"/>
      <c r="L464" s="560"/>
      <c r="M464" s="560"/>
    </row>
    <row r="465" spans="3:13" s="338" customFormat="1">
      <c r="C465" s="558"/>
      <c r="D465" s="559"/>
      <c r="E465" s="559"/>
      <c r="F465" s="559"/>
      <c r="G465" s="558"/>
      <c r="H465" s="559"/>
      <c r="I465" s="559"/>
      <c r="J465" s="559"/>
      <c r="K465" s="560"/>
      <c r="L465" s="560"/>
      <c r="M465" s="560"/>
    </row>
    <row r="466" spans="3:13" s="338" customFormat="1">
      <c r="C466" s="558"/>
      <c r="D466" s="559"/>
      <c r="E466" s="559"/>
      <c r="F466" s="559"/>
      <c r="G466" s="558"/>
      <c r="H466" s="559"/>
      <c r="I466" s="559"/>
      <c r="J466" s="559"/>
      <c r="K466" s="560"/>
      <c r="L466" s="560"/>
      <c r="M466" s="560"/>
    </row>
    <row r="467" spans="3:13" s="338" customFormat="1">
      <c r="C467" s="558"/>
      <c r="D467" s="559"/>
      <c r="E467" s="559"/>
      <c r="F467" s="559"/>
      <c r="G467" s="558"/>
      <c r="H467" s="559"/>
      <c r="I467" s="559"/>
      <c r="J467" s="559"/>
      <c r="K467" s="560"/>
      <c r="L467" s="560"/>
      <c r="M467" s="560"/>
    </row>
    <row r="468" spans="3:13" s="338" customFormat="1">
      <c r="C468" s="558"/>
      <c r="D468" s="559"/>
      <c r="E468" s="559"/>
      <c r="F468" s="559"/>
      <c r="G468" s="558"/>
      <c r="H468" s="559"/>
      <c r="I468" s="559"/>
      <c r="J468" s="559"/>
      <c r="K468" s="560"/>
      <c r="L468" s="560"/>
      <c r="M468" s="560"/>
    </row>
    <row r="469" spans="3:13" s="338" customFormat="1">
      <c r="C469" s="558"/>
      <c r="D469" s="559"/>
      <c r="E469" s="559"/>
      <c r="F469" s="559"/>
      <c r="G469" s="558"/>
      <c r="H469" s="559"/>
      <c r="I469" s="559"/>
      <c r="J469" s="559"/>
      <c r="K469" s="560"/>
      <c r="L469" s="560"/>
      <c r="M469" s="560"/>
    </row>
    <row r="470" spans="3:13" s="338" customFormat="1">
      <c r="C470" s="558"/>
      <c r="D470" s="559"/>
      <c r="E470" s="559"/>
      <c r="F470" s="559"/>
      <c r="G470" s="558"/>
      <c r="H470" s="559"/>
      <c r="I470" s="559"/>
      <c r="J470" s="559"/>
      <c r="K470" s="560"/>
      <c r="L470" s="560"/>
      <c r="M470" s="560"/>
    </row>
    <row r="471" spans="3:13" s="338" customFormat="1">
      <c r="C471" s="558"/>
      <c r="D471" s="559"/>
      <c r="E471" s="559"/>
      <c r="F471" s="559"/>
      <c r="G471" s="558"/>
      <c r="H471" s="559"/>
      <c r="I471" s="559"/>
      <c r="J471" s="559"/>
      <c r="K471" s="560"/>
      <c r="L471" s="560"/>
      <c r="M471" s="560"/>
    </row>
    <row r="472" spans="3:13" s="338" customFormat="1">
      <c r="C472" s="558"/>
      <c r="D472" s="559"/>
      <c r="E472" s="559"/>
      <c r="F472" s="559"/>
      <c r="G472" s="558"/>
      <c r="H472" s="559"/>
      <c r="I472" s="559"/>
      <c r="J472" s="559"/>
      <c r="K472" s="560"/>
      <c r="L472" s="560"/>
      <c r="M472" s="560"/>
    </row>
    <row r="473" spans="3:13" s="338" customFormat="1">
      <c r="C473" s="558"/>
      <c r="D473" s="559"/>
      <c r="E473" s="559"/>
      <c r="F473" s="559"/>
      <c r="G473" s="558"/>
      <c r="H473" s="559"/>
      <c r="I473" s="559"/>
      <c r="J473" s="559"/>
      <c r="K473" s="560"/>
      <c r="L473" s="560"/>
      <c r="M473" s="560"/>
    </row>
    <row r="474" spans="3:13" s="338" customFormat="1">
      <c r="C474" s="558"/>
      <c r="D474" s="559"/>
      <c r="E474" s="559"/>
      <c r="F474" s="559"/>
      <c r="G474" s="558"/>
      <c r="H474" s="559"/>
      <c r="I474" s="559"/>
      <c r="J474" s="559"/>
      <c r="K474" s="560"/>
      <c r="L474" s="560"/>
      <c r="M474" s="560"/>
    </row>
    <row r="475" spans="3:13" s="338" customFormat="1">
      <c r="C475" s="558"/>
      <c r="D475" s="559"/>
      <c r="E475" s="559"/>
      <c r="F475" s="559"/>
      <c r="G475" s="558"/>
      <c r="H475" s="559"/>
      <c r="I475" s="559"/>
      <c r="J475" s="559"/>
      <c r="K475" s="560"/>
      <c r="L475" s="560"/>
      <c r="M475" s="560"/>
    </row>
    <row r="476" spans="3:13" s="338" customFormat="1">
      <c r="C476" s="558"/>
      <c r="D476" s="559"/>
      <c r="E476" s="559"/>
      <c r="F476" s="559"/>
      <c r="G476" s="558"/>
      <c r="H476" s="559"/>
      <c r="I476" s="559"/>
      <c r="J476" s="559"/>
      <c r="K476" s="560"/>
      <c r="L476" s="560"/>
      <c r="M476" s="560"/>
    </row>
    <row r="477" spans="3:13" s="338" customFormat="1">
      <c r="C477" s="558"/>
      <c r="D477" s="559"/>
      <c r="E477" s="559"/>
      <c r="F477" s="559"/>
      <c r="G477" s="558"/>
      <c r="H477" s="559"/>
      <c r="I477" s="559"/>
      <c r="J477" s="559"/>
      <c r="K477" s="560"/>
      <c r="L477" s="560"/>
      <c r="M477" s="560"/>
    </row>
    <row r="478" spans="3:13" s="338" customFormat="1">
      <c r="C478" s="558"/>
      <c r="D478" s="559"/>
      <c r="E478" s="559"/>
      <c r="F478" s="559"/>
      <c r="G478" s="558"/>
      <c r="H478" s="559"/>
      <c r="I478" s="559"/>
      <c r="J478" s="559"/>
      <c r="K478" s="560"/>
      <c r="L478" s="560"/>
      <c r="M478" s="560"/>
    </row>
    <row r="479" spans="3:13" s="338" customFormat="1">
      <c r="C479" s="558"/>
      <c r="D479" s="559"/>
      <c r="E479" s="559"/>
      <c r="F479" s="559"/>
      <c r="G479" s="558"/>
      <c r="H479" s="559"/>
      <c r="I479" s="559"/>
      <c r="J479" s="559"/>
      <c r="K479" s="560"/>
      <c r="L479" s="560"/>
      <c r="M479" s="560"/>
    </row>
    <row r="480" spans="3:13" s="338" customFormat="1">
      <c r="C480" s="558"/>
      <c r="D480" s="559"/>
      <c r="E480" s="559"/>
      <c r="F480" s="559"/>
      <c r="G480" s="558"/>
      <c r="H480" s="559"/>
      <c r="I480" s="559"/>
      <c r="J480" s="559"/>
      <c r="K480" s="560"/>
      <c r="L480" s="560"/>
      <c r="M480" s="560"/>
    </row>
    <row r="481" spans="3:13" s="338" customFormat="1">
      <c r="C481" s="558"/>
      <c r="D481" s="559"/>
      <c r="E481" s="559"/>
      <c r="F481" s="559"/>
      <c r="G481" s="558"/>
      <c r="H481" s="559"/>
      <c r="I481" s="559"/>
      <c r="J481" s="559"/>
      <c r="K481" s="560"/>
      <c r="L481" s="560"/>
      <c r="M481" s="560"/>
    </row>
    <row r="482" spans="3:13" s="338" customFormat="1">
      <c r="C482" s="558"/>
      <c r="D482" s="559"/>
      <c r="E482" s="559"/>
      <c r="F482" s="559"/>
      <c r="G482" s="558"/>
      <c r="H482" s="559"/>
      <c r="I482" s="559"/>
      <c r="J482" s="559"/>
      <c r="K482" s="560"/>
      <c r="L482" s="560"/>
      <c r="M482" s="560"/>
    </row>
    <row r="483" spans="3:13" s="338" customFormat="1">
      <c r="C483" s="558"/>
      <c r="D483" s="559"/>
      <c r="E483" s="559"/>
      <c r="F483" s="559"/>
      <c r="G483" s="558"/>
      <c r="H483" s="559"/>
      <c r="I483" s="559"/>
      <c r="J483" s="559"/>
      <c r="K483" s="560"/>
      <c r="L483" s="560"/>
      <c r="M483" s="560"/>
    </row>
    <row r="484" spans="3:13" s="338" customFormat="1">
      <c r="C484" s="558"/>
      <c r="D484" s="559"/>
      <c r="E484" s="559"/>
      <c r="F484" s="559"/>
      <c r="G484" s="558"/>
      <c r="H484" s="559"/>
      <c r="I484" s="559"/>
      <c r="J484" s="559"/>
      <c r="K484" s="560"/>
      <c r="L484" s="560"/>
      <c r="M484" s="560"/>
    </row>
    <row r="485" spans="3:13" s="338" customFormat="1">
      <c r="C485" s="558"/>
      <c r="D485" s="559"/>
      <c r="E485" s="559"/>
      <c r="F485" s="559"/>
      <c r="G485" s="558"/>
      <c r="H485" s="559"/>
      <c r="I485" s="559"/>
      <c r="J485" s="559"/>
      <c r="K485" s="560"/>
      <c r="L485" s="560"/>
      <c r="M485" s="560"/>
    </row>
    <row r="486" spans="3:13" s="338" customFormat="1">
      <c r="C486" s="558"/>
      <c r="D486" s="559"/>
      <c r="E486" s="559"/>
      <c r="F486" s="559"/>
      <c r="G486" s="558"/>
      <c r="H486" s="559"/>
      <c r="I486" s="559"/>
      <c r="J486" s="559"/>
      <c r="K486" s="560"/>
      <c r="L486" s="560"/>
      <c r="M486" s="560"/>
    </row>
    <row r="487" spans="3:13" s="338" customFormat="1">
      <c r="C487" s="558"/>
      <c r="D487" s="559"/>
      <c r="E487" s="559"/>
      <c r="F487" s="559"/>
      <c r="G487" s="558"/>
      <c r="H487" s="559"/>
      <c r="I487" s="559"/>
      <c r="J487" s="559"/>
      <c r="K487" s="560"/>
      <c r="L487" s="560"/>
      <c r="M487" s="560"/>
    </row>
    <row r="488" spans="3:13" s="338" customFormat="1">
      <c r="C488" s="558"/>
      <c r="D488" s="559"/>
      <c r="E488" s="559"/>
      <c r="F488" s="559"/>
      <c r="G488" s="558"/>
      <c r="H488" s="559"/>
      <c r="I488" s="559"/>
      <c r="J488" s="559"/>
      <c r="K488" s="560"/>
      <c r="L488" s="560"/>
      <c r="M488" s="560"/>
    </row>
    <row r="489" spans="3:13" s="338" customFormat="1">
      <c r="C489" s="558"/>
      <c r="D489" s="559"/>
      <c r="E489" s="559"/>
      <c r="F489" s="559"/>
      <c r="G489" s="558"/>
      <c r="H489" s="559"/>
      <c r="I489" s="559"/>
      <c r="J489" s="559"/>
      <c r="K489" s="560"/>
      <c r="L489" s="560"/>
      <c r="M489" s="560"/>
    </row>
    <row r="490" spans="3:13" s="338" customFormat="1">
      <c r="C490" s="558"/>
      <c r="D490" s="559"/>
      <c r="E490" s="559"/>
      <c r="F490" s="559"/>
      <c r="G490" s="558"/>
      <c r="H490" s="559"/>
      <c r="I490" s="559"/>
      <c r="J490" s="559"/>
      <c r="K490" s="560"/>
      <c r="L490" s="560"/>
      <c r="M490" s="560"/>
    </row>
    <row r="491" spans="3:13" s="338" customFormat="1">
      <c r="C491" s="558"/>
      <c r="D491" s="559"/>
      <c r="E491" s="559"/>
      <c r="F491" s="559"/>
      <c r="G491" s="558"/>
      <c r="H491" s="559"/>
      <c r="I491" s="559"/>
      <c r="J491" s="559"/>
      <c r="K491" s="560"/>
      <c r="L491" s="560"/>
      <c r="M491" s="560"/>
    </row>
    <row r="492" spans="3:13" s="338" customFormat="1">
      <c r="C492" s="558"/>
      <c r="D492" s="559"/>
      <c r="E492" s="559"/>
      <c r="F492" s="559"/>
      <c r="G492" s="558"/>
      <c r="H492" s="559"/>
      <c r="I492" s="559"/>
      <c r="J492" s="559"/>
      <c r="K492" s="560"/>
      <c r="L492" s="560"/>
      <c r="M492" s="560"/>
    </row>
    <row r="493" spans="3:13" s="338" customFormat="1">
      <c r="C493" s="558"/>
      <c r="D493" s="559"/>
      <c r="E493" s="559"/>
      <c r="F493" s="559"/>
      <c r="G493" s="558"/>
      <c r="H493" s="559"/>
      <c r="I493" s="559"/>
      <c r="J493" s="559"/>
      <c r="K493" s="560"/>
      <c r="L493" s="560"/>
      <c r="M493" s="560"/>
    </row>
    <row r="494" spans="3:13" s="338" customFormat="1">
      <c r="C494" s="558"/>
      <c r="D494" s="559"/>
      <c r="E494" s="559"/>
      <c r="F494" s="559"/>
      <c r="G494" s="558"/>
      <c r="H494" s="559"/>
      <c r="I494" s="559"/>
      <c r="J494" s="559"/>
      <c r="K494" s="560"/>
      <c r="L494" s="560"/>
      <c r="M494" s="560"/>
    </row>
    <row r="495" spans="3:13" s="338" customFormat="1">
      <c r="C495" s="558"/>
      <c r="D495" s="559"/>
      <c r="E495" s="559"/>
      <c r="F495" s="559"/>
      <c r="G495" s="558"/>
      <c r="H495" s="559"/>
      <c r="I495" s="559"/>
      <c r="J495" s="559"/>
      <c r="K495" s="560"/>
      <c r="L495" s="560"/>
      <c r="M495" s="560"/>
    </row>
    <row r="496" spans="3:13" s="338" customFormat="1">
      <c r="C496" s="558"/>
      <c r="D496" s="559"/>
      <c r="E496" s="559"/>
      <c r="F496" s="559"/>
      <c r="G496" s="558"/>
      <c r="H496" s="559"/>
      <c r="I496" s="559"/>
      <c r="J496" s="559"/>
      <c r="K496" s="560"/>
      <c r="L496" s="560"/>
      <c r="M496" s="560"/>
    </row>
    <row r="497" spans="3:13" s="338" customFormat="1">
      <c r="C497" s="558"/>
      <c r="D497" s="559"/>
      <c r="E497" s="559"/>
      <c r="F497" s="559"/>
      <c r="G497" s="558"/>
      <c r="H497" s="559"/>
      <c r="I497" s="559"/>
      <c r="J497" s="559"/>
      <c r="K497" s="560"/>
      <c r="L497" s="560"/>
      <c r="M497" s="560"/>
    </row>
    <row r="498" spans="3:13" s="338" customFormat="1">
      <c r="C498" s="558"/>
      <c r="D498" s="559"/>
      <c r="E498" s="559"/>
      <c r="F498" s="559"/>
      <c r="G498" s="558"/>
      <c r="H498" s="559"/>
      <c r="I498" s="559"/>
      <c r="J498" s="559"/>
      <c r="K498" s="560"/>
      <c r="L498" s="560"/>
      <c r="M498" s="560"/>
    </row>
    <row r="499" spans="3:13" s="338" customFormat="1">
      <c r="C499" s="558"/>
      <c r="D499" s="559"/>
      <c r="E499" s="559"/>
      <c r="F499" s="559"/>
      <c r="G499" s="558"/>
      <c r="H499" s="559"/>
      <c r="I499" s="559"/>
      <c r="J499" s="559"/>
      <c r="K499" s="560"/>
      <c r="L499" s="560"/>
      <c r="M499" s="560"/>
    </row>
    <row r="500" spans="3:13" s="338" customFormat="1">
      <c r="C500" s="558"/>
      <c r="D500" s="559"/>
      <c r="E500" s="559"/>
      <c r="F500" s="559"/>
      <c r="G500" s="558"/>
      <c r="H500" s="559"/>
      <c r="I500" s="559"/>
      <c r="J500" s="559"/>
      <c r="K500" s="560"/>
      <c r="L500" s="560"/>
      <c r="M500" s="560"/>
    </row>
    <row r="501" spans="3:13" s="338" customFormat="1">
      <c r="C501" s="558"/>
      <c r="D501" s="559"/>
      <c r="E501" s="559"/>
      <c r="F501" s="559"/>
      <c r="G501" s="558"/>
      <c r="H501" s="559"/>
      <c r="I501" s="559"/>
      <c r="J501" s="559"/>
      <c r="K501" s="560"/>
      <c r="L501" s="560"/>
      <c r="M501" s="560"/>
    </row>
    <row r="502" spans="3:13" s="338" customFormat="1">
      <c r="C502" s="558"/>
      <c r="D502" s="559"/>
      <c r="E502" s="559"/>
      <c r="F502" s="559"/>
      <c r="G502" s="558"/>
      <c r="H502" s="559"/>
      <c r="I502" s="559"/>
      <c r="J502" s="559"/>
      <c r="K502" s="560"/>
      <c r="L502" s="560"/>
      <c r="M502" s="560"/>
    </row>
    <row r="503" spans="3:13" s="338" customFormat="1">
      <c r="C503" s="558"/>
      <c r="D503" s="559"/>
      <c r="E503" s="559"/>
      <c r="F503" s="559"/>
      <c r="G503" s="558"/>
      <c r="H503" s="559"/>
      <c r="I503" s="559"/>
      <c r="J503" s="559"/>
      <c r="K503" s="560"/>
      <c r="L503" s="560"/>
      <c r="M503" s="560"/>
    </row>
    <row r="504" spans="3:13" s="338" customFormat="1">
      <c r="C504" s="558"/>
      <c r="D504" s="559"/>
      <c r="E504" s="559"/>
      <c r="F504" s="559"/>
      <c r="G504" s="558"/>
      <c r="H504" s="559"/>
      <c r="I504" s="559"/>
      <c r="J504" s="559"/>
      <c r="K504" s="560"/>
      <c r="L504" s="560"/>
      <c r="M504" s="560"/>
    </row>
    <row r="505" spans="3:13" s="338" customFormat="1">
      <c r="C505" s="558"/>
      <c r="D505" s="559"/>
      <c r="E505" s="559"/>
      <c r="F505" s="559"/>
      <c r="G505" s="558"/>
      <c r="H505" s="559"/>
      <c r="I505" s="559"/>
      <c r="J505" s="559"/>
      <c r="K505" s="560"/>
      <c r="L505" s="560"/>
      <c r="M505" s="560"/>
    </row>
    <row r="506" spans="3:13" s="338" customFormat="1">
      <c r="C506" s="558"/>
      <c r="D506" s="559"/>
      <c r="E506" s="559"/>
      <c r="F506" s="559"/>
      <c r="G506" s="558"/>
      <c r="H506" s="559"/>
      <c r="I506" s="559"/>
      <c r="J506" s="559"/>
      <c r="K506" s="560"/>
      <c r="L506" s="560"/>
      <c r="M506" s="560"/>
    </row>
    <row r="507" spans="3:13" s="338" customFormat="1">
      <c r="C507" s="558"/>
      <c r="D507" s="559"/>
      <c r="E507" s="559"/>
      <c r="F507" s="559"/>
      <c r="G507" s="558"/>
      <c r="H507" s="559"/>
      <c r="I507" s="559"/>
      <c r="J507" s="559"/>
      <c r="K507" s="560"/>
      <c r="L507" s="560"/>
      <c r="M507" s="560"/>
    </row>
    <row r="508" spans="3:13" s="338" customFormat="1">
      <c r="C508" s="558"/>
      <c r="D508" s="559"/>
      <c r="E508" s="559"/>
      <c r="F508" s="559"/>
      <c r="G508" s="558"/>
      <c r="H508" s="559"/>
      <c r="I508" s="559"/>
      <c r="J508" s="559"/>
      <c r="K508" s="560"/>
      <c r="L508" s="560"/>
      <c r="M508" s="560"/>
    </row>
    <row r="509" spans="3:13" s="338" customFormat="1">
      <c r="C509" s="558"/>
      <c r="D509" s="559"/>
      <c r="E509" s="559"/>
      <c r="F509" s="559"/>
      <c r="G509" s="558"/>
      <c r="H509" s="559"/>
      <c r="I509" s="559"/>
      <c r="J509" s="559"/>
      <c r="K509" s="560"/>
      <c r="L509" s="560"/>
      <c r="M509" s="560"/>
    </row>
    <row r="510" spans="3:13" s="338" customFormat="1">
      <c r="C510" s="558"/>
      <c r="D510" s="559"/>
      <c r="E510" s="559"/>
      <c r="F510" s="559"/>
      <c r="G510" s="558"/>
      <c r="H510" s="559"/>
      <c r="I510" s="559"/>
      <c r="J510" s="559"/>
      <c r="K510" s="560"/>
      <c r="L510" s="560"/>
      <c r="M510" s="560"/>
    </row>
    <row r="511" spans="3:13" s="338" customFormat="1">
      <c r="C511" s="558"/>
      <c r="D511" s="559"/>
      <c r="E511" s="559"/>
      <c r="F511" s="559"/>
      <c r="G511" s="558"/>
      <c r="H511" s="559"/>
      <c r="I511" s="559"/>
      <c r="J511" s="559"/>
      <c r="K511" s="560"/>
      <c r="L511" s="560"/>
      <c r="M511" s="560"/>
    </row>
    <row r="512" spans="3:13" s="338" customFormat="1">
      <c r="C512" s="558"/>
      <c r="D512" s="559"/>
      <c r="E512" s="559"/>
      <c r="F512" s="559"/>
      <c r="G512" s="558"/>
      <c r="H512" s="559"/>
      <c r="I512" s="559"/>
      <c r="J512" s="559"/>
      <c r="K512" s="560"/>
      <c r="L512" s="560"/>
      <c r="M512" s="560"/>
    </row>
    <row r="513" spans="3:13" s="338" customFormat="1">
      <c r="C513" s="558"/>
      <c r="D513" s="559"/>
      <c r="E513" s="559"/>
      <c r="F513" s="559"/>
      <c r="G513" s="558"/>
      <c r="H513" s="559"/>
      <c r="I513" s="559"/>
      <c r="J513" s="559"/>
      <c r="K513" s="560"/>
      <c r="L513" s="560"/>
      <c r="M513" s="560"/>
    </row>
    <row r="514" spans="3:13" s="338" customFormat="1">
      <c r="C514" s="558"/>
      <c r="D514" s="559"/>
      <c r="E514" s="559"/>
      <c r="F514" s="559"/>
      <c r="G514" s="558"/>
      <c r="H514" s="559"/>
      <c r="I514" s="559"/>
      <c r="J514" s="559"/>
      <c r="K514" s="560"/>
      <c r="L514" s="560"/>
      <c r="M514" s="560"/>
    </row>
    <row r="515" spans="3:13" s="338" customFormat="1">
      <c r="C515" s="558"/>
      <c r="D515" s="559"/>
      <c r="E515" s="559"/>
      <c r="F515" s="559"/>
      <c r="G515" s="558"/>
      <c r="H515" s="559"/>
      <c r="I515" s="559"/>
      <c r="J515" s="559"/>
      <c r="K515" s="560"/>
      <c r="L515" s="560"/>
      <c r="M515" s="560"/>
    </row>
    <row r="516" spans="3:13" s="338" customFormat="1">
      <c r="C516" s="558"/>
      <c r="D516" s="559"/>
      <c r="E516" s="559"/>
      <c r="F516" s="559"/>
      <c r="G516" s="558"/>
      <c r="H516" s="559"/>
      <c r="I516" s="559"/>
      <c r="J516" s="559"/>
      <c r="K516" s="560"/>
      <c r="L516" s="560"/>
      <c r="M516" s="560"/>
    </row>
    <row r="517" spans="3:13" s="338" customFormat="1">
      <c r="C517" s="558"/>
      <c r="D517" s="559"/>
      <c r="E517" s="559"/>
      <c r="F517" s="559"/>
      <c r="G517" s="558"/>
      <c r="H517" s="559"/>
      <c r="I517" s="559"/>
      <c r="J517" s="559"/>
      <c r="K517" s="560"/>
      <c r="L517" s="560"/>
      <c r="M517" s="560"/>
    </row>
    <row r="518" spans="3:13" s="338" customFormat="1">
      <c r="C518" s="558"/>
      <c r="D518" s="559"/>
      <c r="E518" s="559"/>
      <c r="F518" s="559"/>
      <c r="G518" s="558"/>
      <c r="H518" s="559"/>
      <c r="I518" s="559"/>
      <c r="J518" s="559"/>
      <c r="K518" s="560"/>
      <c r="L518" s="560"/>
      <c r="M518" s="560"/>
    </row>
    <row r="519" spans="3:13" s="338" customFormat="1">
      <c r="C519" s="558"/>
      <c r="D519" s="559"/>
      <c r="E519" s="559"/>
      <c r="F519" s="559"/>
      <c r="G519" s="558"/>
      <c r="H519" s="559"/>
      <c r="I519" s="559"/>
      <c r="J519" s="559"/>
      <c r="K519" s="560"/>
      <c r="L519" s="560"/>
      <c r="M519" s="560"/>
    </row>
    <row r="520" spans="3:13" s="338" customFormat="1">
      <c r="C520" s="558"/>
      <c r="D520" s="559"/>
      <c r="E520" s="559"/>
      <c r="F520" s="559"/>
      <c r="G520" s="558"/>
      <c r="H520" s="559"/>
      <c r="I520" s="559"/>
      <c r="J520" s="559"/>
      <c r="K520" s="560"/>
      <c r="L520" s="560"/>
      <c r="M520" s="560"/>
    </row>
    <row r="521" spans="3:13" s="338" customFormat="1">
      <c r="C521" s="558"/>
      <c r="D521" s="559"/>
      <c r="E521" s="559"/>
      <c r="F521" s="559"/>
      <c r="G521" s="558"/>
      <c r="H521" s="559"/>
      <c r="I521" s="559"/>
      <c r="J521" s="559"/>
      <c r="K521" s="560"/>
      <c r="L521" s="560"/>
      <c r="M521" s="560"/>
    </row>
    <row r="522" spans="3:13" s="338" customFormat="1">
      <c r="C522" s="558"/>
      <c r="D522" s="559"/>
      <c r="E522" s="559"/>
      <c r="F522" s="559"/>
      <c r="G522" s="558"/>
      <c r="H522" s="559"/>
      <c r="I522" s="559"/>
      <c r="J522" s="559"/>
      <c r="K522" s="560"/>
      <c r="L522" s="560"/>
      <c r="M522" s="560"/>
    </row>
    <row r="523" spans="3:13" s="338" customFormat="1">
      <c r="C523" s="558"/>
      <c r="D523" s="559"/>
      <c r="E523" s="559"/>
      <c r="F523" s="559"/>
      <c r="G523" s="558"/>
      <c r="H523" s="559"/>
      <c r="I523" s="559"/>
      <c r="J523" s="559"/>
      <c r="K523" s="560"/>
      <c r="L523" s="560"/>
      <c r="M523" s="560"/>
    </row>
    <row r="524" spans="3:13" s="338" customFormat="1">
      <c r="C524" s="558"/>
      <c r="D524" s="559"/>
      <c r="E524" s="559"/>
      <c r="F524" s="559"/>
      <c r="G524" s="558"/>
      <c r="H524" s="559"/>
      <c r="I524" s="559"/>
      <c r="J524" s="559"/>
      <c r="K524" s="560"/>
      <c r="L524" s="560"/>
      <c r="M524" s="560"/>
    </row>
    <row r="525" spans="3:13" s="338" customFormat="1">
      <c r="C525" s="558"/>
      <c r="D525" s="559"/>
      <c r="E525" s="559"/>
      <c r="F525" s="559"/>
      <c r="G525" s="558"/>
      <c r="H525" s="559"/>
      <c r="I525" s="559"/>
      <c r="J525" s="559"/>
      <c r="K525" s="560"/>
      <c r="L525" s="560"/>
      <c r="M525" s="560"/>
    </row>
    <row r="526" spans="3:13" s="338" customFormat="1">
      <c r="C526" s="558"/>
      <c r="D526" s="559"/>
      <c r="E526" s="559"/>
      <c r="F526" s="559"/>
      <c r="G526" s="558"/>
      <c r="H526" s="559"/>
      <c r="I526" s="559"/>
      <c r="J526" s="559"/>
      <c r="K526" s="560"/>
      <c r="L526" s="560"/>
      <c r="M526" s="560"/>
    </row>
    <row r="527" spans="3:13" s="338" customFormat="1">
      <c r="C527" s="558"/>
      <c r="D527" s="559"/>
      <c r="E527" s="559"/>
      <c r="F527" s="559"/>
      <c r="G527" s="558"/>
      <c r="H527" s="559"/>
      <c r="I527" s="559"/>
      <c r="J527" s="559"/>
      <c r="K527" s="560"/>
      <c r="L527" s="560"/>
      <c r="M527" s="560"/>
    </row>
    <row r="528" spans="3:13" s="338" customFormat="1">
      <c r="C528" s="558"/>
      <c r="D528" s="559"/>
      <c r="E528" s="559"/>
      <c r="F528" s="559"/>
      <c r="G528" s="558"/>
      <c r="H528" s="559"/>
      <c r="I528" s="559"/>
      <c r="J528" s="559"/>
      <c r="K528" s="560"/>
      <c r="L528" s="560"/>
      <c r="M528" s="560"/>
    </row>
    <row r="529" spans="3:13" s="338" customFormat="1">
      <c r="C529" s="558"/>
      <c r="D529" s="559"/>
      <c r="E529" s="559"/>
      <c r="F529" s="559"/>
      <c r="G529" s="558"/>
      <c r="H529" s="559"/>
      <c r="I529" s="559"/>
      <c r="J529" s="559"/>
      <c r="K529" s="560"/>
      <c r="L529" s="560"/>
      <c r="M529" s="560"/>
    </row>
    <row r="530" spans="3:13" s="338" customFormat="1">
      <c r="C530" s="558"/>
      <c r="D530" s="559"/>
      <c r="E530" s="559"/>
      <c r="F530" s="559"/>
      <c r="G530" s="558"/>
      <c r="H530" s="559"/>
      <c r="I530" s="559"/>
      <c r="J530" s="559"/>
      <c r="K530" s="560"/>
      <c r="L530" s="560"/>
      <c r="M530" s="560"/>
    </row>
    <row r="531" spans="3:13" s="338" customFormat="1">
      <c r="C531" s="558"/>
      <c r="D531" s="559"/>
      <c r="E531" s="559"/>
      <c r="F531" s="559"/>
      <c r="G531" s="558"/>
      <c r="H531" s="559"/>
      <c r="I531" s="559"/>
      <c r="J531" s="559"/>
      <c r="K531" s="560"/>
      <c r="L531" s="560"/>
      <c r="M531" s="560"/>
    </row>
    <row r="532" spans="3:13" s="338" customFormat="1">
      <c r="C532" s="558"/>
      <c r="D532" s="559"/>
      <c r="E532" s="559"/>
      <c r="F532" s="559"/>
      <c r="G532" s="558"/>
      <c r="H532" s="559"/>
      <c r="I532" s="559"/>
      <c r="J532" s="559"/>
      <c r="K532" s="560"/>
      <c r="L532" s="560"/>
      <c r="M532" s="560"/>
    </row>
    <row r="533" spans="3:13" s="338" customFormat="1">
      <c r="C533" s="558"/>
      <c r="D533" s="559"/>
      <c r="E533" s="559"/>
      <c r="F533" s="559"/>
      <c r="G533" s="558"/>
      <c r="H533" s="559"/>
      <c r="I533" s="559"/>
      <c r="J533" s="559"/>
      <c r="K533" s="560"/>
      <c r="L533" s="560"/>
      <c r="M533" s="560"/>
    </row>
    <row r="534" spans="3:13" s="338" customFormat="1">
      <c r="C534" s="558"/>
      <c r="D534" s="559"/>
      <c r="E534" s="559"/>
      <c r="F534" s="559"/>
      <c r="G534" s="558"/>
      <c r="H534" s="559"/>
      <c r="I534" s="559"/>
      <c r="J534" s="559"/>
      <c r="K534" s="560"/>
      <c r="L534" s="560"/>
      <c r="M534" s="560"/>
    </row>
    <row r="535" spans="3:13" s="338" customFormat="1">
      <c r="C535" s="558"/>
      <c r="D535" s="559"/>
      <c r="E535" s="559"/>
      <c r="F535" s="559"/>
      <c r="G535" s="558"/>
      <c r="H535" s="559"/>
      <c r="I535" s="559"/>
      <c r="J535" s="559"/>
      <c r="K535" s="560"/>
      <c r="L535" s="560"/>
      <c r="M535" s="560"/>
    </row>
    <row r="536" spans="3:13" s="338" customFormat="1">
      <c r="C536" s="558"/>
      <c r="D536" s="559"/>
      <c r="E536" s="559"/>
      <c r="F536" s="559"/>
      <c r="G536" s="558"/>
      <c r="H536" s="559"/>
      <c r="I536" s="559"/>
      <c r="J536" s="559"/>
      <c r="K536" s="560"/>
      <c r="L536" s="560"/>
      <c r="M536" s="560"/>
    </row>
    <row r="537" spans="3:13" s="338" customFormat="1">
      <c r="C537" s="558"/>
      <c r="D537" s="559"/>
      <c r="E537" s="559"/>
      <c r="F537" s="559"/>
      <c r="G537" s="558"/>
      <c r="H537" s="559"/>
      <c r="I537" s="559"/>
      <c r="J537" s="559"/>
      <c r="K537" s="560"/>
      <c r="L537" s="560"/>
      <c r="M537" s="560"/>
    </row>
    <row r="538" spans="3:13" s="338" customFormat="1">
      <c r="C538" s="558"/>
      <c r="D538" s="559"/>
      <c r="E538" s="559"/>
      <c r="F538" s="559"/>
      <c r="G538" s="558"/>
      <c r="H538" s="559"/>
      <c r="I538" s="559"/>
      <c r="J538" s="559"/>
      <c r="K538" s="560"/>
      <c r="L538" s="560"/>
      <c r="M538" s="560"/>
    </row>
    <row r="539" spans="3:13" s="338" customFormat="1">
      <c r="C539" s="558"/>
      <c r="D539" s="559"/>
      <c r="E539" s="559"/>
      <c r="F539" s="559"/>
      <c r="G539" s="558"/>
      <c r="H539" s="559"/>
      <c r="I539" s="559"/>
      <c r="J539" s="559"/>
      <c r="K539" s="560"/>
      <c r="L539" s="560"/>
      <c r="M539" s="560"/>
    </row>
    <row r="540" spans="3:13" s="338" customFormat="1">
      <c r="C540" s="558"/>
      <c r="D540" s="559"/>
      <c r="E540" s="559"/>
      <c r="F540" s="559"/>
      <c r="G540" s="558"/>
      <c r="H540" s="559"/>
      <c r="I540" s="559"/>
      <c r="J540" s="559"/>
      <c r="K540" s="560"/>
      <c r="L540" s="560"/>
      <c r="M540" s="560"/>
    </row>
    <row r="541" spans="3:13" s="338" customFormat="1">
      <c r="C541" s="558"/>
      <c r="D541" s="559"/>
      <c r="E541" s="559"/>
      <c r="F541" s="559"/>
      <c r="G541" s="558"/>
      <c r="H541" s="559"/>
      <c r="I541" s="559"/>
      <c r="J541" s="559"/>
      <c r="K541" s="560"/>
      <c r="L541" s="560"/>
      <c r="M541" s="560"/>
    </row>
    <row r="542" spans="3:13" s="338" customFormat="1">
      <c r="C542" s="558"/>
      <c r="D542" s="559"/>
      <c r="E542" s="559"/>
      <c r="F542" s="559"/>
      <c r="G542" s="558"/>
      <c r="H542" s="559"/>
      <c r="I542" s="559"/>
      <c r="J542" s="559"/>
      <c r="K542" s="560"/>
      <c r="L542" s="560"/>
      <c r="M542" s="560"/>
    </row>
    <row r="543" spans="3:13" s="338" customFormat="1">
      <c r="C543" s="558"/>
      <c r="D543" s="559"/>
      <c r="E543" s="559"/>
      <c r="F543" s="559"/>
      <c r="G543" s="558"/>
      <c r="H543" s="559"/>
      <c r="I543" s="559"/>
      <c r="J543" s="559"/>
      <c r="K543" s="560"/>
      <c r="L543" s="560"/>
      <c r="M543" s="560"/>
    </row>
    <row r="544" spans="3:13" s="338" customFormat="1">
      <c r="C544" s="558"/>
      <c r="D544" s="559"/>
      <c r="E544" s="559"/>
      <c r="F544" s="559"/>
      <c r="G544" s="558"/>
      <c r="H544" s="559"/>
      <c r="I544" s="559"/>
      <c r="J544" s="559"/>
      <c r="K544" s="560"/>
      <c r="L544" s="560"/>
      <c r="M544" s="560"/>
    </row>
    <row r="545" spans="3:13" s="338" customFormat="1">
      <c r="C545" s="558"/>
      <c r="D545" s="559"/>
      <c r="E545" s="559"/>
      <c r="F545" s="559"/>
      <c r="G545" s="558"/>
      <c r="H545" s="559"/>
      <c r="I545" s="559"/>
      <c r="J545" s="559"/>
      <c r="K545" s="560"/>
      <c r="L545" s="560"/>
      <c r="M545" s="560"/>
    </row>
    <row r="546" spans="3:13" s="338" customFormat="1">
      <c r="C546" s="558"/>
      <c r="D546" s="559"/>
      <c r="E546" s="559"/>
      <c r="F546" s="559"/>
      <c r="G546" s="558"/>
      <c r="H546" s="559"/>
      <c r="I546" s="559"/>
      <c r="J546" s="559"/>
      <c r="K546" s="560"/>
      <c r="L546" s="560"/>
      <c r="M546" s="560"/>
    </row>
    <row r="547" spans="3:13" s="338" customFormat="1">
      <c r="C547" s="558"/>
      <c r="D547" s="559"/>
      <c r="E547" s="559"/>
      <c r="F547" s="559"/>
      <c r="G547" s="558"/>
      <c r="H547" s="559"/>
      <c r="I547" s="559"/>
      <c r="J547" s="559"/>
      <c r="K547" s="560"/>
      <c r="L547" s="560"/>
      <c r="M547" s="560"/>
    </row>
    <row r="548" spans="3:13" s="338" customFormat="1">
      <c r="C548" s="558"/>
      <c r="D548" s="559"/>
      <c r="E548" s="559"/>
      <c r="F548" s="559"/>
      <c r="G548" s="558"/>
      <c r="H548" s="559"/>
      <c r="I548" s="559"/>
      <c r="J548" s="559"/>
      <c r="K548" s="560"/>
      <c r="L548" s="560"/>
      <c r="M548" s="560"/>
    </row>
    <row r="549" spans="3:13" s="338" customFormat="1">
      <c r="C549" s="558"/>
      <c r="D549" s="559"/>
      <c r="E549" s="559"/>
      <c r="F549" s="559"/>
      <c r="G549" s="558"/>
      <c r="H549" s="559"/>
      <c r="I549" s="559"/>
      <c r="J549" s="559"/>
      <c r="K549" s="560"/>
      <c r="L549" s="560"/>
      <c r="M549" s="560"/>
    </row>
    <row r="550" spans="3:13" s="338" customFormat="1">
      <c r="C550" s="558"/>
      <c r="D550" s="559"/>
      <c r="E550" s="559"/>
      <c r="F550" s="559"/>
      <c r="G550" s="558"/>
      <c r="H550" s="559"/>
      <c r="I550" s="559"/>
      <c r="J550" s="559"/>
      <c r="K550" s="560"/>
      <c r="L550" s="560"/>
      <c r="M550" s="560"/>
    </row>
    <row r="551" spans="3:13" s="338" customFormat="1">
      <c r="C551" s="558"/>
      <c r="D551" s="559"/>
      <c r="E551" s="559"/>
      <c r="F551" s="559"/>
      <c r="G551" s="558"/>
      <c r="H551" s="559"/>
      <c r="I551" s="559"/>
      <c r="J551" s="559"/>
      <c r="K551" s="560"/>
      <c r="L551" s="560"/>
      <c r="M551" s="560"/>
    </row>
    <row r="552" spans="3:13" s="338" customFormat="1">
      <c r="C552" s="558"/>
      <c r="D552" s="559"/>
      <c r="E552" s="559"/>
      <c r="F552" s="559"/>
      <c r="G552" s="558"/>
      <c r="H552" s="559"/>
      <c r="I552" s="559"/>
      <c r="J552" s="559"/>
      <c r="K552" s="560"/>
      <c r="L552" s="560"/>
      <c r="M552" s="560"/>
    </row>
    <row r="553" spans="3:13" s="338" customFormat="1">
      <c r="C553" s="558"/>
      <c r="D553" s="559"/>
      <c r="E553" s="559"/>
      <c r="F553" s="559"/>
      <c r="G553" s="558"/>
      <c r="H553" s="559"/>
      <c r="I553" s="559"/>
      <c r="J553" s="559"/>
      <c r="K553" s="560"/>
      <c r="L553" s="560"/>
      <c r="M553" s="560"/>
    </row>
    <row r="554" spans="3:13" s="338" customFormat="1">
      <c r="C554" s="558"/>
      <c r="D554" s="559"/>
      <c r="E554" s="559"/>
      <c r="F554" s="559"/>
      <c r="G554" s="558"/>
      <c r="H554" s="559"/>
      <c r="I554" s="559"/>
      <c r="J554" s="559"/>
      <c r="K554" s="560"/>
      <c r="L554" s="560"/>
      <c r="M554" s="560"/>
    </row>
    <row r="555" spans="3:13" s="338" customFormat="1">
      <c r="C555" s="558"/>
      <c r="D555" s="559"/>
      <c r="E555" s="559"/>
      <c r="F555" s="559"/>
      <c r="G555" s="558"/>
      <c r="H555" s="559"/>
      <c r="I555" s="559"/>
      <c r="J555" s="559"/>
      <c r="K555" s="560"/>
      <c r="L555" s="560"/>
      <c r="M555" s="560"/>
    </row>
    <row r="556" spans="3:13" s="338" customFormat="1">
      <c r="C556" s="558"/>
      <c r="D556" s="559"/>
      <c r="E556" s="559"/>
      <c r="F556" s="559"/>
      <c r="G556" s="558"/>
      <c r="H556" s="559"/>
      <c r="I556" s="559"/>
      <c r="J556" s="559"/>
      <c r="K556" s="560"/>
      <c r="L556" s="560"/>
      <c r="M556" s="560"/>
    </row>
    <row r="557" spans="3:13" s="338" customFormat="1">
      <c r="C557" s="558"/>
      <c r="D557" s="559"/>
      <c r="E557" s="559"/>
      <c r="F557" s="559"/>
      <c r="G557" s="558"/>
      <c r="H557" s="559"/>
      <c r="I557" s="559"/>
      <c r="J557" s="559"/>
      <c r="K557" s="560"/>
      <c r="L557" s="560"/>
      <c r="M557" s="560"/>
    </row>
    <row r="558" spans="3:13" s="338" customFormat="1">
      <c r="C558" s="558"/>
      <c r="D558" s="559"/>
      <c r="E558" s="559"/>
      <c r="F558" s="559"/>
      <c r="G558" s="558"/>
      <c r="H558" s="559"/>
      <c r="I558" s="559"/>
      <c r="J558" s="559"/>
      <c r="K558" s="560"/>
      <c r="L558" s="560"/>
      <c r="M558" s="560"/>
    </row>
    <row r="559" spans="3:13" s="338" customFormat="1">
      <c r="C559" s="558"/>
      <c r="D559" s="559"/>
      <c r="E559" s="559"/>
      <c r="F559" s="559"/>
      <c r="G559" s="558"/>
      <c r="H559" s="559"/>
      <c r="I559" s="559"/>
      <c r="J559" s="559"/>
      <c r="K559" s="560"/>
      <c r="L559" s="560"/>
      <c r="M559" s="560"/>
    </row>
    <row r="560" spans="3:13" s="338" customFormat="1">
      <c r="C560" s="558"/>
      <c r="D560" s="559"/>
      <c r="E560" s="559"/>
      <c r="F560" s="559"/>
      <c r="G560" s="558"/>
      <c r="H560" s="559"/>
      <c r="I560" s="559"/>
      <c r="J560" s="559"/>
      <c r="K560" s="560"/>
      <c r="L560" s="560"/>
      <c r="M560" s="560"/>
    </row>
    <row r="561" spans="3:13" s="338" customFormat="1">
      <c r="C561" s="558"/>
      <c r="D561" s="559"/>
      <c r="E561" s="559"/>
      <c r="F561" s="559"/>
      <c r="G561" s="558"/>
      <c r="H561" s="559"/>
      <c r="I561" s="559"/>
      <c r="J561" s="559"/>
      <c r="K561" s="560"/>
      <c r="L561" s="560"/>
      <c r="M561" s="560"/>
    </row>
    <row r="562" spans="3:13" s="338" customFormat="1">
      <c r="C562" s="558"/>
      <c r="D562" s="559"/>
      <c r="E562" s="559"/>
      <c r="F562" s="559"/>
      <c r="G562" s="558"/>
      <c r="H562" s="559"/>
      <c r="I562" s="559"/>
      <c r="J562" s="559"/>
      <c r="K562" s="560"/>
      <c r="L562" s="560"/>
      <c r="M562" s="560"/>
    </row>
    <row r="563" spans="3:13" s="338" customFormat="1">
      <c r="C563" s="558"/>
      <c r="D563" s="559"/>
      <c r="E563" s="559"/>
      <c r="F563" s="559"/>
      <c r="G563" s="558"/>
      <c r="H563" s="559"/>
      <c r="I563" s="559"/>
      <c r="J563" s="559"/>
      <c r="K563" s="560"/>
      <c r="L563" s="560"/>
      <c r="M563" s="560"/>
    </row>
    <row r="564" spans="3:13" s="338" customFormat="1">
      <c r="C564" s="558"/>
      <c r="D564" s="559"/>
      <c r="E564" s="559"/>
      <c r="F564" s="559"/>
      <c r="G564" s="558"/>
      <c r="H564" s="559"/>
      <c r="I564" s="559"/>
      <c r="J564" s="559"/>
      <c r="K564" s="560"/>
      <c r="L564" s="560"/>
      <c r="M564" s="560"/>
    </row>
    <row r="565" spans="3:13" s="338" customFormat="1">
      <c r="C565" s="558"/>
      <c r="D565" s="559"/>
      <c r="E565" s="559"/>
      <c r="F565" s="559"/>
      <c r="G565" s="558"/>
      <c r="H565" s="559"/>
      <c r="I565" s="559"/>
      <c r="J565" s="559"/>
      <c r="K565" s="560"/>
      <c r="L565" s="560"/>
      <c r="M565" s="560"/>
    </row>
    <row r="566" spans="3:13" s="338" customFormat="1">
      <c r="C566" s="558"/>
      <c r="D566" s="559"/>
      <c r="E566" s="559"/>
      <c r="F566" s="559"/>
      <c r="G566" s="558"/>
      <c r="H566" s="559"/>
      <c r="I566" s="559"/>
      <c r="J566" s="559"/>
      <c r="K566" s="560"/>
      <c r="L566" s="560"/>
      <c r="M566" s="560"/>
    </row>
    <row r="567" spans="3:13" s="338" customFormat="1">
      <c r="C567" s="558"/>
      <c r="D567" s="559"/>
      <c r="E567" s="559"/>
      <c r="F567" s="559"/>
      <c r="G567" s="558"/>
      <c r="H567" s="559"/>
      <c r="I567" s="559"/>
      <c r="J567" s="559"/>
      <c r="K567" s="560"/>
      <c r="L567" s="560"/>
      <c r="M567" s="560"/>
    </row>
    <row r="568" spans="3:13" s="338" customFormat="1">
      <c r="C568" s="558"/>
      <c r="D568" s="559"/>
      <c r="E568" s="559"/>
      <c r="F568" s="559"/>
      <c r="G568" s="558"/>
      <c r="H568" s="559"/>
      <c r="I568" s="559"/>
      <c r="J568" s="559"/>
      <c r="K568" s="560"/>
      <c r="L568" s="560"/>
      <c r="M568" s="560"/>
    </row>
    <row r="569" spans="3:13" s="338" customFormat="1">
      <c r="C569" s="558"/>
      <c r="D569" s="559"/>
      <c r="E569" s="559"/>
      <c r="F569" s="559"/>
      <c r="G569" s="558"/>
      <c r="H569" s="559"/>
      <c r="I569" s="559"/>
      <c r="J569" s="559"/>
      <c r="K569" s="560"/>
      <c r="L569" s="560"/>
      <c r="M569" s="560"/>
    </row>
    <row r="570" spans="3:13" s="338" customFormat="1">
      <c r="C570" s="558"/>
      <c r="D570" s="559"/>
      <c r="E570" s="559"/>
      <c r="F570" s="559"/>
      <c r="G570" s="558"/>
      <c r="H570" s="559"/>
      <c r="I570" s="559"/>
      <c r="J570" s="559"/>
      <c r="K570" s="560"/>
      <c r="L570" s="560"/>
      <c r="M570" s="560"/>
    </row>
    <row r="571" spans="3:13" s="338" customFormat="1">
      <c r="C571" s="558"/>
      <c r="D571" s="559"/>
      <c r="E571" s="559"/>
      <c r="F571" s="559"/>
      <c r="G571" s="558"/>
      <c r="H571" s="559"/>
      <c r="I571" s="559"/>
      <c r="J571" s="559"/>
      <c r="K571" s="560"/>
      <c r="L571" s="560"/>
      <c r="M571" s="560"/>
    </row>
    <row r="572" spans="3:13" s="338" customFormat="1">
      <c r="C572" s="558"/>
      <c r="D572" s="559"/>
      <c r="E572" s="559"/>
      <c r="F572" s="559"/>
      <c r="G572" s="558"/>
      <c r="H572" s="559"/>
      <c r="I572" s="559"/>
      <c r="J572" s="559"/>
      <c r="K572" s="560"/>
      <c r="L572" s="560"/>
      <c r="M572" s="560"/>
    </row>
    <row r="573" spans="3:13" s="338" customFormat="1">
      <c r="C573" s="558"/>
      <c r="D573" s="559"/>
      <c r="E573" s="559"/>
      <c r="F573" s="559"/>
      <c r="G573" s="558"/>
      <c r="H573" s="559"/>
      <c r="I573" s="559"/>
      <c r="J573" s="559"/>
      <c r="K573" s="560"/>
      <c r="L573" s="560"/>
      <c r="M573" s="560"/>
    </row>
    <row r="574" spans="3:13" s="338" customFormat="1">
      <c r="C574" s="558"/>
      <c r="D574" s="559"/>
      <c r="E574" s="559"/>
      <c r="F574" s="559"/>
      <c r="G574" s="558"/>
      <c r="H574" s="559"/>
      <c r="I574" s="559"/>
      <c r="J574" s="559"/>
      <c r="K574" s="560"/>
      <c r="L574" s="560"/>
      <c r="M574" s="560"/>
    </row>
    <row r="575" spans="3:13" s="338" customFormat="1">
      <c r="C575" s="558"/>
      <c r="D575" s="559"/>
      <c r="E575" s="559"/>
      <c r="F575" s="559"/>
      <c r="G575" s="558"/>
      <c r="H575" s="559"/>
      <c r="I575" s="559"/>
      <c r="J575" s="559"/>
      <c r="K575" s="560"/>
      <c r="L575" s="560"/>
      <c r="M575" s="560"/>
    </row>
    <row r="576" spans="3:13" s="338" customFormat="1">
      <c r="C576" s="558"/>
      <c r="D576" s="559"/>
      <c r="E576" s="559"/>
      <c r="F576" s="559"/>
      <c r="G576" s="558"/>
      <c r="H576" s="559"/>
      <c r="I576" s="559"/>
      <c r="J576" s="559"/>
      <c r="K576" s="560"/>
      <c r="L576" s="560"/>
      <c r="M576" s="560"/>
    </row>
    <row r="577" spans="3:13" s="338" customFormat="1">
      <c r="C577" s="558"/>
      <c r="D577" s="559"/>
      <c r="E577" s="559"/>
      <c r="F577" s="559"/>
      <c r="G577" s="558"/>
      <c r="H577" s="559"/>
      <c r="I577" s="559"/>
      <c r="J577" s="559"/>
      <c r="K577" s="560"/>
      <c r="L577" s="560"/>
      <c r="M577" s="560"/>
    </row>
    <row r="578" spans="3:13" s="338" customFormat="1">
      <c r="C578" s="558"/>
      <c r="D578" s="559"/>
      <c r="E578" s="559"/>
      <c r="F578" s="559"/>
      <c r="G578" s="558"/>
      <c r="H578" s="559"/>
      <c r="I578" s="559"/>
      <c r="J578" s="559"/>
      <c r="K578" s="560"/>
      <c r="L578" s="560"/>
      <c r="M578" s="560"/>
    </row>
    <row r="579" spans="3:13" s="338" customFormat="1">
      <c r="C579" s="558"/>
      <c r="D579" s="559"/>
      <c r="E579" s="559"/>
      <c r="F579" s="559"/>
      <c r="G579" s="558"/>
      <c r="H579" s="559"/>
      <c r="I579" s="559"/>
      <c r="J579" s="559"/>
      <c r="K579" s="560"/>
      <c r="L579" s="560"/>
      <c r="M579" s="560"/>
    </row>
    <row r="580" spans="3:13" s="338" customFormat="1">
      <c r="C580" s="558"/>
      <c r="D580" s="559"/>
      <c r="E580" s="559"/>
      <c r="F580" s="559"/>
      <c r="G580" s="558"/>
      <c r="H580" s="559"/>
      <c r="I580" s="559"/>
      <c r="J580" s="559"/>
      <c r="K580" s="560"/>
      <c r="L580" s="560"/>
      <c r="M580" s="560"/>
    </row>
    <row r="581" spans="3:13" s="338" customFormat="1">
      <c r="C581" s="558"/>
      <c r="D581" s="559"/>
      <c r="E581" s="559"/>
      <c r="F581" s="559"/>
      <c r="G581" s="558"/>
      <c r="H581" s="559"/>
      <c r="I581" s="559"/>
      <c r="J581" s="559"/>
      <c r="K581" s="560"/>
      <c r="L581" s="560"/>
      <c r="M581" s="560"/>
    </row>
    <row r="582" spans="3:13" s="338" customFormat="1">
      <c r="C582" s="558"/>
      <c r="D582" s="559"/>
      <c r="E582" s="559"/>
      <c r="F582" s="559"/>
      <c r="G582" s="558"/>
      <c r="H582" s="559"/>
      <c r="I582" s="559"/>
      <c r="J582" s="559"/>
      <c r="K582" s="560"/>
      <c r="L582" s="560"/>
      <c r="M582" s="560"/>
    </row>
    <row r="583" spans="3:13" s="338" customFormat="1">
      <c r="C583" s="558"/>
      <c r="D583" s="559"/>
      <c r="E583" s="559"/>
      <c r="F583" s="559"/>
      <c r="G583" s="558"/>
      <c r="H583" s="559"/>
      <c r="I583" s="559"/>
      <c r="J583" s="559"/>
      <c r="K583" s="560"/>
      <c r="L583" s="560"/>
      <c r="M583" s="560"/>
    </row>
    <row r="584" spans="3:13" s="338" customFormat="1">
      <c r="C584" s="558"/>
      <c r="D584" s="559"/>
      <c r="E584" s="559"/>
      <c r="F584" s="559"/>
      <c r="G584" s="558"/>
      <c r="H584" s="559"/>
      <c r="I584" s="559"/>
      <c r="J584" s="559"/>
      <c r="K584" s="560"/>
      <c r="L584" s="560"/>
      <c r="M584" s="560"/>
    </row>
    <row r="585" spans="3:13" s="338" customFormat="1">
      <c r="C585" s="558"/>
      <c r="D585" s="559"/>
      <c r="E585" s="559"/>
      <c r="F585" s="559"/>
      <c r="G585" s="558"/>
      <c r="H585" s="559"/>
      <c r="I585" s="559"/>
      <c r="J585" s="559"/>
      <c r="K585" s="560"/>
      <c r="L585" s="560"/>
      <c r="M585" s="560"/>
    </row>
    <row r="586" spans="3:13" s="338" customFormat="1">
      <c r="C586" s="558"/>
      <c r="D586" s="559"/>
      <c r="E586" s="559"/>
      <c r="F586" s="559"/>
      <c r="G586" s="558"/>
      <c r="H586" s="559"/>
      <c r="I586" s="559"/>
      <c r="J586" s="559"/>
      <c r="K586" s="560"/>
      <c r="L586" s="560"/>
      <c r="M586" s="560"/>
    </row>
    <row r="587" spans="3:13" s="338" customFormat="1">
      <c r="C587" s="558"/>
      <c r="D587" s="559"/>
      <c r="E587" s="559"/>
      <c r="F587" s="559"/>
      <c r="G587" s="558"/>
      <c r="H587" s="559"/>
      <c r="I587" s="559"/>
      <c r="J587" s="559"/>
      <c r="K587" s="560"/>
      <c r="L587" s="560"/>
      <c r="M587" s="560"/>
    </row>
    <row r="588" spans="3:13" s="338" customFormat="1">
      <c r="C588" s="558"/>
      <c r="D588" s="559"/>
      <c r="E588" s="559"/>
      <c r="F588" s="559"/>
      <c r="G588" s="558"/>
      <c r="H588" s="559"/>
      <c r="I588" s="559"/>
      <c r="J588" s="559"/>
      <c r="K588" s="560"/>
      <c r="L588" s="560"/>
      <c r="M588" s="560"/>
    </row>
    <row r="589" spans="3:13" s="338" customFormat="1">
      <c r="C589" s="558"/>
      <c r="D589" s="559"/>
      <c r="E589" s="559"/>
      <c r="F589" s="559"/>
      <c r="G589" s="558"/>
      <c r="H589" s="559"/>
      <c r="I589" s="559"/>
      <c r="J589" s="559"/>
      <c r="K589" s="560"/>
      <c r="L589" s="560"/>
      <c r="M589" s="560"/>
    </row>
    <row r="590" spans="3:13" s="338" customFormat="1">
      <c r="C590" s="558"/>
      <c r="D590" s="559"/>
      <c r="E590" s="559"/>
      <c r="F590" s="559"/>
      <c r="G590" s="558"/>
      <c r="H590" s="559"/>
      <c r="I590" s="559"/>
      <c r="J590" s="559"/>
      <c r="K590" s="560"/>
      <c r="L590" s="560"/>
      <c r="M590" s="560"/>
    </row>
    <row r="591" spans="3:13" s="338" customFormat="1">
      <c r="C591" s="558"/>
      <c r="D591" s="559"/>
      <c r="E591" s="559"/>
      <c r="F591" s="559"/>
      <c r="G591" s="558"/>
      <c r="H591" s="559"/>
      <c r="I591" s="559"/>
      <c r="J591" s="559"/>
      <c r="K591" s="560"/>
      <c r="L591" s="560"/>
      <c r="M591" s="560"/>
    </row>
    <row r="592" spans="3:13" s="338" customFormat="1">
      <c r="C592" s="558"/>
      <c r="D592" s="559"/>
      <c r="E592" s="559"/>
      <c r="F592" s="559"/>
      <c r="G592" s="558"/>
      <c r="H592" s="559"/>
      <c r="I592" s="559"/>
      <c r="J592" s="559"/>
      <c r="K592" s="560"/>
      <c r="L592" s="560"/>
      <c r="M592" s="560"/>
    </row>
    <row r="593" spans="3:13" s="338" customFormat="1">
      <c r="C593" s="558"/>
      <c r="D593" s="559"/>
      <c r="E593" s="559"/>
      <c r="F593" s="559"/>
      <c r="G593" s="558"/>
      <c r="H593" s="559"/>
      <c r="I593" s="559"/>
      <c r="J593" s="559"/>
      <c r="K593" s="560"/>
      <c r="L593" s="560"/>
      <c r="M593" s="560"/>
    </row>
    <row r="594" spans="3:13" s="338" customFormat="1">
      <c r="C594" s="558"/>
      <c r="D594" s="559"/>
      <c r="E594" s="559"/>
      <c r="F594" s="559"/>
      <c r="G594" s="558"/>
      <c r="H594" s="559"/>
      <c r="I594" s="559"/>
      <c r="J594" s="559"/>
      <c r="K594" s="560"/>
      <c r="L594" s="560"/>
      <c r="M594" s="560"/>
    </row>
    <row r="595" spans="3:13" s="338" customFormat="1">
      <c r="C595" s="558"/>
      <c r="D595" s="559"/>
      <c r="E595" s="559"/>
      <c r="F595" s="559"/>
      <c r="G595" s="558"/>
      <c r="H595" s="559"/>
      <c r="I595" s="559"/>
      <c r="J595" s="559"/>
      <c r="K595" s="560"/>
      <c r="L595" s="560"/>
      <c r="M595" s="560"/>
    </row>
    <row r="596" spans="3:13" s="338" customFormat="1">
      <c r="C596" s="558"/>
      <c r="D596" s="559"/>
      <c r="E596" s="559"/>
      <c r="F596" s="559"/>
      <c r="G596" s="558"/>
      <c r="H596" s="559"/>
      <c r="I596" s="559"/>
      <c r="J596" s="559"/>
      <c r="K596" s="560"/>
      <c r="L596" s="560"/>
      <c r="M596" s="560"/>
    </row>
    <row r="597" spans="3:13" s="338" customFormat="1">
      <c r="C597" s="558"/>
      <c r="D597" s="559"/>
      <c r="E597" s="559"/>
      <c r="F597" s="559"/>
      <c r="G597" s="558"/>
      <c r="H597" s="559"/>
      <c r="I597" s="559"/>
      <c r="J597" s="559"/>
      <c r="K597" s="560"/>
      <c r="L597" s="560"/>
      <c r="M597" s="560"/>
    </row>
    <row r="598" spans="3:13" s="338" customFormat="1">
      <c r="C598" s="558"/>
      <c r="D598" s="559"/>
      <c r="E598" s="559"/>
      <c r="F598" s="559"/>
      <c r="G598" s="558"/>
      <c r="H598" s="559"/>
      <c r="I598" s="559"/>
      <c r="J598" s="559"/>
      <c r="K598" s="560"/>
      <c r="L598" s="560"/>
      <c r="M598" s="560"/>
    </row>
    <row r="599" spans="3:13" s="338" customFormat="1">
      <c r="C599" s="558"/>
      <c r="D599" s="559"/>
      <c r="E599" s="559"/>
      <c r="F599" s="559"/>
      <c r="G599" s="558"/>
      <c r="H599" s="559"/>
      <c r="I599" s="559"/>
      <c r="J599" s="559"/>
      <c r="K599" s="560"/>
      <c r="L599" s="560"/>
      <c r="M599" s="560"/>
    </row>
    <row r="600" spans="3:13" s="338" customFormat="1">
      <c r="C600" s="558"/>
      <c r="D600" s="559"/>
      <c r="E600" s="559"/>
      <c r="F600" s="559"/>
      <c r="G600" s="558"/>
      <c r="H600" s="559"/>
      <c r="I600" s="559"/>
      <c r="J600" s="559"/>
      <c r="K600" s="560"/>
      <c r="L600" s="560"/>
      <c r="M600" s="560"/>
    </row>
    <row r="601" spans="3:13" s="338" customFormat="1">
      <c r="C601" s="558"/>
      <c r="D601" s="559"/>
      <c r="E601" s="559"/>
      <c r="F601" s="559"/>
      <c r="G601" s="558"/>
      <c r="H601" s="559"/>
      <c r="I601" s="559"/>
      <c r="J601" s="559"/>
      <c r="K601" s="560"/>
      <c r="L601" s="560"/>
      <c r="M601" s="560"/>
    </row>
    <row r="602" spans="3:13" s="338" customFormat="1">
      <c r="C602" s="558"/>
      <c r="D602" s="559"/>
      <c r="E602" s="559"/>
      <c r="F602" s="559"/>
      <c r="G602" s="558"/>
      <c r="H602" s="559"/>
      <c r="I602" s="559"/>
      <c r="J602" s="559"/>
      <c r="K602" s="560"/>
      <c r="L602" s="560"/>
      <c r="M602" s="560"/>
    </row>
    <row r="603" spans="3:13" s="338" customFormat="1">
      <c r="C603" s="558"/>
      <c r="D603" s="559"/>
      <c r="E603" s="559"/>
      <c r="F603" s="559"/>
      <c r="G603" s="558"/>
      <c r="H603" s="559"/>
      <c r="I603" s="559"/>
      <c r="J603" s="559"/>
      <c r="K603" s="560"/>
      <c r="L603" s="560"/>
      <c r="M603" s="560"/>
    </row>
    <row r="604" spans="3:13" s="338" customFormat="1">
      <c r="C604" s="558"/>
      <c r="D604" s="559"/>
      <c r="E604" s="559"/>
      <c r="F604" s="559"/>
      <c r="G604" s="558"/>
      <c r="H604" s="559"/>
      <c r="I604" s="559"/>
      <c r="J604" s="559"/>
      <c r="K604" s="560"/>
      <c r="L604" s="560"/>
      <c r="M604" s="560"/>
    </row>
    <row r="605" spans="3:13" s="338" customFormat="1">
      <c r="C605" s="558"/>
      <c r="D605" s="559"/>
      <c r="E605" s="559"/>
      <c r="F605" s="559"/>
      <c r="G605" s="558"/>
      <c r="H605" s="559"/>
      <c r="I605" s="559"/>
      <c r="J605" s="559"/>
      <c r="K605" s="560"/>
      <c r="L605" s="560"/>
      <c r="M605" s="560"/>
    </row>
    <row r="606" spans="3:13" s="338" customFormat="1">
      <c r="C606" s="558"/>
      <c r="D606" s="559"/>
      <c r="E606" s="559"/>
      <c r="F606" s="559"/>
      <c r="G606" s="558"/>
      <c r="H606" s="559"/>
      <c r="I606" s="559"/>
      <c r="J606" s="559"/>
      <c r="K606" s="560"/>
      <c r="L606" s="560"/>
      <c r="M606" s="560"/>
    </row>
    <row r="607" spans="3:13" s="338" customFormat="1">
      <c r="C607" s="558"/>
      <c r="D607" s="559"/>
      <c r="E607" s="559"/>
      <c r="F607" s="559"/>
      <c r="G607" s="558"/>
      <c r="H607" s="559"/>
      <c r="I607" s="559"/>
      <c r="J607" s="559"/>
      <c r="K607" s="560"/>
      <c r="L607" s="560"/>
      <c r="M607" s="560"/>
    </row>
    <row r="608" spans="3:13" s="338" customFormat="1">
      <c r="C608" s="558"/>
      <c r="D608" s="559"/>
      <c r="E608" s="559"/>
      <c r="F608" s="559"/>
      <c r="G608" s="558"/>
      <c r="H608" s="559"/>
      <c r="I608" s="559"/>
      <c r="J608" s="559"/>
      <c r="K608" s="560"/>
      <c r="L608" s="560"/>
      <c r="M608" s="560"/>
    </row>
    <row r="609" spans="3:13" s="338" customFormat="1">
      <c r="C609" s="558"/>
      <c r="D609" s="559"/>
      <c r="E609" s="559"/>
      <c r="F609" s="559"/>
      <c r="G609" s="558"/>
      <c r="H609" s="559"/>
      <c r="I609" s="559"/>
      <c r="J609" s="559"/>
      <c r="K609" s="560"/>
      <c r="L609" s="560"/>
      <c r="M609" s="560"/>
    </row>
    <row r="610" spans="3:13" s="338" customFormat="1">
      <c r="C610" s="558"/>
      <c r="D610" s="559"/>
      <c r="E610" s="559"/>
      <c r="F610" s="559"/>
      <c r="G610" s="558"/>
      <c r="H610" s="559"/>
      <c r="I610" s="559"/>
      <c r="J610" s="559"/>
      <c r="K610" s="560"/>
      <c r="L610" s="560"/>
      <c r="M610" s="560"/>
    </row>
    <row r="611" spans="3:13" s="338" customFormat="1">
      <c r="C611" s="558"/>
      <c r="D611" s="559"/>
      <c r="E611" s="559"/>
      <c r="F611" s="559"/>
      <c r="G611" s="558"/>
      <c r="H611" s="559"/>
      <c r="I611" s="559"/>
      <c r="J611" s="559"/>
      <c r="K611" s="560"/>
      <c r="L611" s="560"/>
      <c r="M611" s="560"/>
    </row>
    <row r="612" spans="3:13" s="338" customFormat="1">
      <c r="C612" s="558"/>
      <c r="D612" s="559"/>
      <c r="E612" s="559"/>
      <c r="F612" s="559"/>
      <c r="G612" s="558"/>
      <c r="H612" s="559"/>
      <c r="I612" s="559"/>
      <c r="J612" s="559"/>
      <c r="K612" s="560"/>
      <c r="L612" s="560"/>
      <c r="M612" s="560"/>
    </row>
    <row r="613" spans="3:13" s="338" customFormat="1">
      <c r="C613" s="558"/>
      <c r="D613" s="559"/>
      <c r="E613" s="559"/>
      <c r="F613" s="559"/>
      <c r="G613" s="558"/>
      <c r="H613" s="559"/>
      <c r="I613" s="559"/>
      <c r="J613" s="559"/>
      <c r="K613" s="560"/>
      <c r="L613" s="560"/>
      <c r="M613" s="560"/>
    </row>
    <row r="614" spans="3:13" s="338" customFormat="1">
      <c r="C614" s="558"/>
      <c r="D614" s="559"/>
      <c r="E614" s="559"/>
      <c r="F614" s="559"/>
      <c r="G614" s="558"/>
      <c r="H614" s="559"/>
      <c r="I614" s="559"/>
      <c r="J614" s="559"/>
      <c r="K614" s="560"/>
      <c r="L614" s="560"/>
      <c r="M614" s="560"/>
    </row>
    <row r="615" spans="3:13" s="338" customFormat="1">
      <c r="C615" s="558"/>
      <c r="D615" s="559"/>
      <c r="E615" s="559"/>
      <c r="F615" s="559"/>
      <c r="G615" s="558"/>
      <c r="H615" s="559"/>
      <c r="I615" s="559"/>
      <c r="J615" s="559"/>
      <c r="K615" s="560"/>
      <c r="L615" s="560"/>
      <c r="M615" s="560"/>
    </row>
    <row r="616" spans="3:13" s="338" customFormat="1">
      <c r="C616" s="558"/>
      <c r="D616" s="559"/>
      <c r="E616" s="559"/>
      <c r="F616" s="559"/>
      <c r="G616" s="558"/>
      <c r="H616" s="559"/>
      <c r="I616" s="559"/>
      <c r="J616" s="559"/>
      <c r="K616" s="560"/>
      <c r="L616" s="560"/>
      <c r="M616" s="560"/>
    </row>
    <row r="617" spans="3:13" s="338" customFormat="1">
      <c r="C617" s="558"/>
      <c r="D617" s="559"/>
      <c r="E617" s="559"/>
      <c r="F617" s="559"/>
      <c r="G617" s="558"/>
      <c r="H617" s="559"/>
      <c r="I617" s="559"/>
      <c r="J617" s="559"/>
      <c r="K617" s="560"/>
      <c r="L617" s="560"/>
      <c r="M617" s="560"/>
    </row>
    <row r="618" spans="3:13" s="338" customFormat="1">
      <c r="C618" s="558"/>
      <c r="D618" s="559"/>
      <c r="E618" s="559"/>
      <c r="F618" s="559"/>
      <c r="G618" s="558"/>
      <c r="H618" s="559"/>
      <c r="I618" s="559"/>
      <c r="J618" s="559"/>
      <c r="K618" s="560"/>
      <c r="L618" s="560"/>
      <c r="M618" s="560"/>
    </row>
    <row r="619" spans="3:13" s="338" customFormat="1">
      <c r="C619" s="558"/>
      <c r="D619" s="559"/>
      <c r="E619" s="559"/>
      <c r="F619" s="559"/>
      <c r="G619" s="558"/>
      <c r="H619" s="559"/>
      <c r="I619" s="559"/>
      <c r="J619" s="559"/>
      <c r="K619" s="560"/>
      <c r="L619" s="560"/>
      <c r="M619" s="560"/>
    </row>
    <row r="620" spans="3:13" s="338" customFormat="1">
      <c r="C620" s="558"/>
      <c r="D620" s="559"/>
      <c r="E620" s="559"/>
      <c r="F620" s="559"/>
      <c r="G620" s="558"/>
      <c r="H620" s="559"/>
      <c r="I620" s="559"/>
      <c r="J620" s="559"/>
      <c r="K620" s="560"/>
      <c r="L620" s="560"/>
      <c r="M620" s="560"/>
    </row>
    <row r="621" spans="3:13" s="338" customFormat="1">
      <c r="C621" s="558"/>
      <c r="D621" s="559"/>
      <c r="E621" s="559"/>
      <c r="F621" s="559"/>
      <c r="G621" s="558"/>
      <c r="H621" s="559"/>
      <c r="I621" s="559"/>
      <c r="J621" s="559"/>
      <c r="K621" s="560"/>
      <c r="L621" s="560"/>
      <c r="M621" s="560"/>
    </row>
    <row r="622" spans="3:13" s="338" customFormat="1">
      <c r="C622" s="558"/>
      <c r="D622" s="559"/>
      <c r="E622" s="559"/>
      <c r="F622" s="559"/>
      <c r="G622" s="558"/>
      <c r="H622" s="559"/>
      <c r="I622" s="559"/>
      <c r="J622" s="559"/>
      <c r="K622" s="560"/>
      <c r="L622" s="560"/>
      <c r="M622" s="560"/>
    </row>
    <row r="623" spans="3:13" s="338" customFormat="1">
      <c r="C623" s="558"/>
      <c r="D623" s="559"/>
      <c r="E623" s="559"/>
      <c r="F623" s="559"/>
      <c r="G623" s="558"/>
      <c r="H623" s="559"/>
      <c r="I623" s="559"/>
      <c r="J623" s="559"/>
      <c r="K623" s="560"/>
      <c r="L623" s="560"/>
      <c r="M623" s="560"/>
    </row>
    <row r="624" spans="3:13" s="338" customFormat="1">
      <c r="C624" s="558"/>
      <c r="D624" s="559"/>
      <c r="E624" s="559"/>
      <c r="F624" s="559"/>
      <c r="G624" s="558"/>
      <c r="H624" s="559"/>
      <c r="I624" s="559"/>
      <c r="J624" s="559"/>
      <c r="K624" s="560"/>
      <c r="L624" s="560"/>
      <c r="M624" s="560"/>
    </row>
    <row r="625" spans="3:13" s="338" customFormat="1">
      <c r="C625" s="558"/>
      <c r="D625" s="559"/>
      <c r="E625" s="559"/>
      <c r="F625" s="559"/>
      <c r="G625" s="558"/>
      <c r="H625" s="559"/>
      <c r="I625" s="559"/>
      <c r="J625" s="559"/>
      <c r="K625" s="560"/>
      <c r="L625" s="560"/>
      <c r="M625" s="560"/>
    </row>
    <row r="626" spans="3:13" s="338" customFormat="1">
      <c r="C626" s="558"/>
      <c r="D626" s="559"/>
      <c r="E626" s="559"/>
      <c r="F626" s="559"/>
      <c r="G626" s="558"/>
      <c r="H626" s="559"/>
      <c r="I626" s="559"/>
      <c r="J626" s="559"/>
      <c r="K626" s="560"/>
      <c r="L626" s="560"/>
      <c r="M626" s="560"/>
    </row>
    <row r="627" spans="3:13" s="338" customFormat="1">
      <c r="C627" s="558"/>
      <c r="D627" s="559"/>
      <c r="E627" s="559"/>
      <c r="F627" s="559"/>
      <c r="G627" s="558"/>
      <c r="H627" s="559"/>
      <c r="I627" s="559"/>
      <c r="J627" s="559"/>
      <c r="K627" s="560"/>
      <c r="L627" s="560"/>
      <c r="M627" s="560"/>
    </row>
    <row r="628" spans="3:13" s="338" customFormat="1">
      <c r="C628" s="558"/>
      <c r="D628" s="559"/>
      <c r="E628" s="559"/>
      <c r="F628" s="559"/>
      <c r="G628" s="558"/>
      <c r="H628" s="559"/>
      <c r="I628" s="559"/>
      <c r="J628" s="559"/>
      <c r="K628" s="560"/>
      <c r="L628" s="560"/>
      <c r="M628" s="560"/>
    </row>
    <row r="629" spans="3:13" s="338" customFormat="1">
      <c r="C629" s="558"/>
      <c r="D629" s="559"/>
      <c r="E629" s="559"/>
      <c r="F629" s="559"/>
      <c r="G629" s="558"/>
      <c r="H629" s="559"/>
      <c r="I629" s="559"/>
      <c r="J629" s="559"/>
      <c r="K629" s="560"/>
      <c r="L629" s="560"/>
      <c r="M629" s="560"/>
    </row>
    <row r="630" spans="3:13" s="338" customFormat="1">
      <c r="C630" s="558"/>
      <c r="D630" s="559"/>
      <c r="E630" s="559"/>
      <c r="F630" s="559"/>
      <c r="G630" s="558"/>
      <c r="H630" s="559"/>
      <c r="I630" s="559"/>
      <c r="J630" s="559"/>
      <c r="K630" s="560"/>
      <c r="L630" s="560"/>
      <c r="M630" s="560"/>
    </row>
    <row r="631" spans="3:13" s="338" customFormat="1">
      <c r="C631" s="558"/>
      <c r="D631" s="559"/>
      <c r="E631" s="559"/>
      <c r="F631" s="559"/>
      <c r="G631" s="558"/>
      <c r="H631" s="559"/>
      <c r="I631" s="559"/>
      <c r="J631" s="559"/>
      <c r="K631" s="560"/>
      <c r="L631" s="560"/>
      <c r="M631" s="560"/>
    </row>
    <row r="632" spans="3:13" s="338" customFormat="1">
      <c r="C632" s="558"/>
      <c r="D632" s="559"/>
      <c r="E632" s="559"/>
      <c r="F632" s="559"/>
      <c r="G632" s="558"/>
      <c r="H632" s="559"/>
      <c r="I632" s="559"/>
      <c r="J632" s="559"/>
      <c r="K632" s="560"/>
      <c r="L632" s="560"/>
      <c r="M632" s="560"/>
    </row>
    <row r="633" spans="3:13" s="338" customFormat="1">
      <c r="C633" s="558"/>
      <c r="D633" s="559"/>
      <c r="E633" s="559"/>
      <c r="F633" s="559"/>
      <c r="G633" s="558"/>
      <c r="H633" s="559"/>
      <c r="I633" s="559"/>
      <c r="J633" s="559"/>
      <c r="K633" s="560"/>
      <c r="L633" s="560"/>
      <c r="M633" s="560"/>
    </row>
    <row r="634" spans="3:13" s="338" customFormat="1">
      <c r="C634" s="558"/>
      <c r="D634" s="559"/>
      <c r="E634" s="559"/>
      <c r="F634" s="559"/>
      <c r="G634" s="558"/>
      <c r="H634" s="559"/>
      <c r="I634" s="559"/>
      <c r="J634" s="559"/>
      <c r="K634" s="560"/>
      <c r="L634" s="560"/>
      <c r="M634" s="560"/>
    </row>
    <row r="635" spans="3:13" s="338" customFormat="1">
      <c r="C635" s="558"/>
      <c r="D635" s="559"/>
      <c r="E635" s="559"/>
      <c r="F635" s="559"/>
      <c r="G635" s="558"/>
      <c r="H635" s="559"/>
      <c r="I635" s="559"/>
      <c r="J635" s="559"/>
      <c r="K635" s="560"/>
      <c r="L635" s="560"/>
      <c r="M635" s="560"/>
    </row>
    <row r="636" spans="3:13" s="338" customFormat="1">
      <c r="C636" s="558"/>
      <c r="D636" s="559"/>
      <c r="E636" s="559"/>
      <c r="F636" s="559"/>
      <c r="G636" s="558"/>
      <c r="H636" s="559"/>
      <c r="I636" s="559"/>
      <c r="J636" s="559"/>
      <c r="K636" s="560"/>
      <c r="L636" s="560"/>
      <c r="M636" s="560"/>
    </row>
    <row r="637" spans="3:13" s="338" customFormat="1">
      <c r="C637" s="558"/>
      <c r="D637" s="559"/>
      <c r="E637" s="559"/>
      <c r="F637" s="559"/>
      <c r="G637" s="558"/>
      <c r="H637" s="559"/>
      <c r="I637" s="559"/>
      <c r="J637" s="559"/>
      <c r="K637" s="560"/>
      <c r="L637" s="560"/>
      <c r="M637" s="560"/>
    </row>
    <row r="638" spans="3:13" s="338" customFormat="1">
      <c r="C638" s="558"/>
      <c r="D638" s="559"/>
      <c r="E638" s="559"/>
      <c r="F638" s="559"/>
      <c r="G638" s="558"/>
      <c r="H638" s="559"/>
      <c r="I638" s="559"/>
      <c r="J638" s="559"/>
      <c r="K638" s="560"/>
      <c r="L638" s="560"/>
      <c r="M638" s="560"/>
    </row>
    <row r="639" spans="3:13" s="338" customFormat="1">
      <c r="C639" s="558"/>
      <c r="D639" s="559"/>
      <c r="E639" s="559"/>
      <c r="F639" s="559"/>
      <c r="G639" s="558"/>
      <c r="H639" s="559"/>
      <c r="I639" s="559"/>
      <c r="J639" s="559"/>
      <c r="K639" s="560"/>
      <c r="L639" s="560"/>
      <c r="M639" s="560"/>
    </row>
    <row r="640" spans="3:13" s="338" customFormat="1">
      <c r="C640" s="558"/>
      <c r="D640" s="559"/>
      <c r="E640" s="559"/>
      <c r="F640" s="559"/>
      <c r="G640" s="558"/>
      <c r="H640" s="559"/>
      <c r="I640" s="559"/>
      <c r="J640" s="559"/>
      <c r="K640" s="560"/>
      <c r="L640" s="560"/>
      <c r="M640" s="560"/>
    </row>
    <row r="641" spans="3:13" s="338" customFormat="1">
      <c r="C641" s="558"/>
      <c r="D641" s="559"/>
      <c r="E641" s="559"/>
      <c r="F641" s="559"/>
      <c r="G641" s="558"/>
      <c r="H641" s="559"/>
      <c r="I641" s="559"/>
      <c r="J641" s="559"/>
      <c r="K641" s="560"/>
      <c r="L641" s="560"/>
      <c r="M641" s="560"/>
    </row>
    <row r="642" spans="3:13" s="338" customFormat="1">
      <c r="C642" s="558"/>
      <c r="D642" s="559"/>
      <c r="E642" s="559"/>
      <c r="F642" s="559"/>
      <c r="G642" s="558"/>
      <c r="H642" s="559"/>
      <c r="I642" s="559"/>
      <c r="J642" s="559"/>
      <c r="K642" s="560"/>
      <c r="L642" s="560"/>
      <c r="M642" s="560"/>
    </row>
    <row r="643" spans="3:13" s="338" customFormat="1">
      <c r="C643" s="558"/>
      <c r="D643" s="559"/>
      <c r="E643" s="559"/>
      <c r="F643" s="559"/>
      <c r="G643" s="558"/>
      <c r="H643" s="559"/>
      <c r="I643" s="559"/>
      <c r="J643" s="559"/>
      <c r="K643" s="560"/>
      <c r="L643" s="560"/>
      <c r="M643" s="560"/>
    </row>
    <row r="644" spans="3:13" s="338" customFormat="1">
      <c r="C644" s="558"/>
      <c r="D644" s="559"/>
      <c r="E644" s="559"/>
      <c r="F644" s="559"/>
      <c r="G644" s="558"/>
      <c r="H644" s="559"/>
      <c r="I644" s="559"/>
      <c r="J644" s="559"/>
      <c r="K644" s="560"/>
      <c r="L644" s="560"/>
      <c r="M644" s="560"/>
    </row>
    <row r="645" spans="3:13" s="338" customFormat="1">
      <c r="C645" s="558"/>
      <c r="D645" s="559"/>
      <c r="E645" s="559"/>
      <c r="F645" s="559"/>
      <c r="G645" s="558"/>
      <c r="H645" s="559"/>
      <c r="I645" s="559"/>
      <c r="J645" s="559"/>
      <c r="K645" s="560"/>
      <c r="L645" s="560"/>
      <c r="M645" s="560"/>
    </row>
    <row r="646" spans="3:13" s="338" customFormat="1">
      <c r="C646" s="558"/>
      <c r="D646" s="559"/>
      <c r="E646" s="559"/>
      <c r="F646" s="559"/>
      <c r="G646" s="558"/>
      <c r="H646" s="559"/>
      <c r="I646" s="559"/>
      <c r="J646" s="559"/>
      <c r="K646" s="560"/>
      <c r="L646" s="560"/>
      <c r="M646" s="560"/>
    </row>
    <row r="647" spans="3:13" s="338" customFormat="1">
      <c r="C647" s="558"/>
      <c r="D647" s="559"/>
      <c r="E647" s="559"/>
      <c r="F647" s="559"/>
      <c r="G647" s="558"/>
      <c r="H647" s="559"/>
      <c r="I647" s="559"/>
      <c r="J647" s="559"/>
      <c r="K647" s="560"/>
      <c r="L647" s="560"/>
      <c r="M647" s="560"/>
    </row>
    <row r="648" spans="3:13" s="338" customFormat="1">
      <c r="C648" s="558"/>
      <c r="D648" s="559"/>
      <c r="E648" s="559"/>
      <c r="F648" s="559"/>
      <c r="G648" s="558"/>
      <c r="H648" s="559"/>
      <c r="I648" s="559"/>
      <c r="J648" s="559"/>
      <c r="K648" s="560"/>
      <c r="L648" s="560"/>
      <c r="M648" s="560"/>
    </row>
    <row r="649" spans="3:13" s="338" customFormat="1">
      <c r="C649" s="558"/>
      <c r="D649" s="559"/>
      <c r="E649" s="559"/>
      <c r="F649" s="559"/>
      <c r="G649" s="558"/>
      <c r="H649" s="559"/>
      <c r="I649" s="559"/>
      <c r="J649" s="559"/>
      <c r="K649" s="560"/>
      <c r="L649" s="560"/>
      <c r="M649" s="560"/>
    </row>
    <row r="650" spans="3:13" s="338" customFormat="1">
      <c r="C650" s="558"/>
      <c r="D650" s="559"/>
      <c r="E650" s="559"/>
      <c r="F650" s="559"/>
      <c r="G650" s="558"/>
      <c r="H650" s="559"/>
      <c r="I650" s="559"/>
      <c r="J650" s="559"/>
      <c r="K650" s="560"/>
      <c r="L650" s="560"/>
      <c r="M650" s="560"/>
    </row>
    <row r="651" spans="3:13" s="338" customFormat="1">
      <c r="C651" s="558"/>
      <c r="D651" s="559"/>
      <c r="E651" s="559"/>
      <c r="F651" s="559"/>
      <c r="G651" s="558"/>
      <c r="H651" s="559"/>
      <c r="I651" s="559"/>
      <c r="J651" s="559"/>
      <c r="K651" s="560"/>
      <c r="L651" s="560"/>
      <c r="M651" s="560"/>
    </row>
    <row r="652" spans="3:13" s="338" customFormat="1">
      <c r="C652" s="558"/>
      <c r="D652" s="559"/>
      <c r="E652" s="559"/>
      <c r="F652" s="559"/>
      <c r="G652" s="558"/>
      <c r="H652" s="559"/>
      <c r="I652" s="559"/>
      <c r="J652" s="559"/>
      <c r="K652" s="560"/>
      <c r="L652" s="560"/>
      <c r="M652" s="560"/>
    </row>
    <row r="653" spans="3:13" s="338" customFormat="1">
      <c r="C653" s="558"/>
      <c r="D653" s="559"/>
      <c r="E653" s="559"/>
      <c r="F653" s="559"/>
      <c r="G653" s="558"/>
      <c r="H653" s="559"/>
      <c r="I653" s="559"/>
      <c r="J653" s="559"/>
      <c r="K653" s="560"/>
      <c r="L653" s="560"/>
      <c r="M653" s="560"/>
    </row>
    <row r="654" spans="3:13" s="338" customFormat="1">
      <c r="C654" s="558"/>
      <c r="D654" s="559"/>
      <c r="E654" s="559"/>
      <c r="F654" s="559"/>
      <c r="G654" s="558"/>
      <c r="H654" s="559"/>
      <c r="I654" s="559"/>
      <c r="J654" s="559"/>
      <c r="K654" s="560"/>
      <c r="L654" s="560"/>
      <c r="M654" s="560"/>
    </row>
    <row r="655" spans="3:13" s="338" customFormat="1">
      <c r="C655" s="558"/>
      <c r="D655" s="559"/>
      <c r="E655" s="559"/>
      <c r="F655" s="559"/>
      <c r="G655" s="558"/>
      <c r="H655" s="559"/>
      <c r="I655" s="559"/>
      <c r="J655" s="559"/>
      <c r="K655" s="560"/>
      <c r="L655" s="560"/>
      <c r="M655" s="560"/>
    </row>
    <row r="656" spans="3:13" s="338" customFormat="1">
      <c r="C656" s="558"/>
      <c r="D656" s="559"/>
      <c r="E656" s="559"/>
      <c r="F656" s="559"/>
      <c r="G656" s="558"/>
      <c r="H656" s="559"/>
      <c r="I656" s="559"/>
      <c r="J656" s="559"/>
      <c r="K656" s="560"/>
      <c r="L656" s="560"/>
      <c r="M656" s="560"/>
    </row>
    <row r="657" spans="3:13" s="338" customFormat="1">
      <c r="C657" s="558"/>
      <c r="D657" s="559"/>
      <c r="E657" s="559"/>
      <c r="F657" s="559"/>
      <c r="G657" s="558"/>
      <c r="H657" s="559"/>
      <c r="I657" s="559"/>
      <c r="J657" s="559"/>
      <c r="K657" s="560"/>
      <c r="L657" s="560"/>
      <c r="M657" s="560"/>
    </row>
    <row r="658" spans="3:13" s="338" customFormat="1">
      <c r="C658" s="558"/>
      <c r="D658" s="559"/>
      <c r="E658" s="559"/>
      <c r="F658" s="559"/>
      <c r="G658" s="558"/>
      <c r="H658" s="559"/>
      <c r="I658" s="559"/>
      <c r="J658" s="559"/>
      <c r="K658" s="560"/>
      <c r="L658" s="560"/>
      <c r="M658" s="560"/>
    </row>
    <row r="659" spans="3:13" s="338" customFormat="1">
      <c r="C659" s="558"/>
      <c r="D659" s="559"/>
      <c r="E659" s="559"/>
      <c r="F659" s="559"/>
      <c r="G659" s="558"/>
      <c r="H659" s="559"/>
      <c r="I659" s="559"/>
      <c r="J659" s="559"/>
      <c r="K659" s="560"/>
      <c r="L659" s="560"/>
      <c r="M659" s="560"/>
    </row>
    <row r="660" spans="3:13" s="338" customFormat="1">
      <c r="C660" s="558"/>
      <c r="D660" s="559"/>
      <c r="E660" s="559"/>
      <c r="F660" s="559"/>
      <c r="G660" s="558"/>
      <c r="H660" s="559"/>
      <c r="I660" s="559"/>
      <c r="J660" s="559"/>
      <c r="K660" s="560"/>
      <c r="L660" s="560"/>
      <c r="M660" s="560"/>
    </row>
    <row r="661" spans="3:13" s="338" customFormat="1">
      <c r="C661" s="558"/>
      <c r="D661" s="559"/>
      <c r="E661" s="559"/>
      <c r="F661" s="559"/>
      <c r="G661" s="558"/>
      <c r="H661" s="559"/>
      <c r="I661" s="559"/>
      <c r="J661" s="559"/>
      <c r="K661" s="560"/>
      <c r="L661" s="560"/>
      <c r="M661" s="560"/>
    </row>
    <row r="662" spans="3:13" s="338" customFormat="1">
      <c r="C662" s="558"/>
      <c r="D662" s="559"/>
      <c r="E662" s="559"/>
      <c r="F662" s="559"/>
      <c r="G662" s="558"/>
      <c r="H662" s="559"/>
      <c r="I662" s="559"/>
      <c r="J662" s="559"/>
      <c r="K662" s="560"/>
      <c r="L662" s="560"/>
      <c r="M662" s="560"/>
    </row>
    <row r="663" spans="3:13" s="338" customFormat="1">
      <c r="C663" s="558"/>
      <c r="D663" s="559"/>
      <c r="E663" s="559"/>
      <c r="F663" s="559"/>
      <c r="G663" s="558"/>
      <c r="H663" s="559"/>
      <c r="I663" s="559"/>
      <c r="J663" s="559"/>
      <c r="K663" s="560"/>
      <c r="L663" s="560"/>
      <c r="M663" s="560"/>
    </row>
    <row r="664" spans="3:13" s="338" customFormat="1">
      <c r="C664" s="558"/>
      <c r="D664" s="559"/>
      <c r="E664" s="559"/>
      <c r="F664" s="559"/>
      <c r="G664" s="558"/>
      <c r="H664" s="559"/>
      <c r="I664" s="559"/>
      <c r="J664" s="559"/>
      <c r="K664" s="560"/>
      <c r="L664" s="560"/>
      <c r="M664" s="560"/>
    </row>
    <row r="665" spans="3:13" s="338" customFormat="1">
      <c r="C665" s="558"/>
      <c r="D665" s="559"/>
      <c r="E665" s="559"/>
      <c r="F665" s="559"/>
      <c r="G665" s="558"/>
      <c r="H665" s="559"/>
      <c r="I665" s="559"/>
      <c r="J665" s="559"/>
      <c r="K665" s="560"/>
      <c r="L665" s="560"/>
      <c r="M665" s="560"/>
    </row>
    <row r="666" spans="3:13" s="338" customFormat="1">
      <c r="C666" s="558"/>
      <c r="D666" s="559"/>
      <c r="E666" s="559"/>
      <c r="F666" s="559"/>
      <c r="G666" s="558"/>
      <c r="H666" s="559"/>
      <c r="I666" s="559"/>
      <c r="J666" s="559"/>
      <c r="K666" s="560"/>
      <c r="L666" s="560"/>
      <c r="M666" s="560"/>
    </row>
    <row r="667" spans="3:13" s="338" customFormat="1">
      <c r="C667" s="558"/>
      <c r="D667" s="559"/>
      <c r="E667" s="559"/>
      <c r="F667" s="559"/>
      <c r="G667" s="558"/>
      <c r="H667" s="559"/>
      <c r="I667" s="559"/>
      <c r="J667" s="559"/>
      <c r="K667" s="560"/>
      <c r="L667" s="560"/>
      <c r="M667" s="560"/>
    </row>
    <row r="668" spans="3:13" s="338" customFormat="1">
      <c r="C668" s="558"/>
      <c r="D668" s="559"/>
      <c r="E668" s="559"/>
      <c r="F668" s="559"/>
      <c r="G668" s="558"/>
      <c r="H668" s="559"/>
      <c r="I668" s="559"/>
      <c r="J668" s="559"/>
      <c r="K668" s="560"/>
      <c r="L668" s="560"/>
      <c r="M668" s="560"/>
    </row>
    <row r="669" spans="3:13" s="338" customFormat="1">
      <c r="C669" s="558"/>
      <c r="D669" s="559"/>
      <c r="E669" s="559"/>
      <c r="F669" s="559"/>
      <c r="G669" s="558"/>
      <c r="H669" s="559"/>
      <c r="I669" s="559"/>
      <c r="J669" s="559"/>
      <c r="K669" s="560"/>
      <c r="L669" s="560"/>
      <c r="M669" s="560"/>
    </row>
    <row r="670" spans="3:13" s="338" customFormat="1">
      <c r="C670" s="558"/>
      <c r="D670" s="559"/>
      <c r="E670" s="559"/>
      <c r="F670" s="559"/>
      <c r="G670" s="558"/>
      <c r="H670" s="559"/>
      <c r="I670" s="559"/>
      <c r="J670" s="559"/>
      <c r="K670" s="560"/>
      <c r="L670" s="560"/>
      <c r="M670" s="560"/>
    </row>
    <row r="671" spans="3:13" s="338" customFormat="1">
      <c r="C671" s="558"/>
      <c r="D671" s="559"/>
      <c r="E671" s="559"/>
      <c r="F671" s="559"/>
      <c r="G671" s="558"/>
      <c r="H671" s="559"/>
      <c r="I671" s="559"/>
      <c r="J671" s="559"/>
      <c r="K671" s="560"/>
      <c r="L671" s="560"/>
      <c r="M671" s="560"/>
    </row>
    <row r="672" spans="3:13" s="338" customFormat="1">
      <c r="C672" s="558"/>
      <c r="D672" s="559"/>
      <c r="E672" s="559"/>
      <c r="F672" s="559"/>
      <c r="G672" s="558"/>
      <c r="H672" s="559"/>
      <c r="I672" s="559"/>
      <c r="J672" s="559"/>
      <c r="K672" s="560"/>
      <c r="L672" s="560"/>
      <c r="M672" s="560"/>
    </row>
    <row r="673" spans="3:13" s="338" customFormat="1">
      <c r="C673" s="558"/>
      <c r="D673" s="559"/>
      <c r="E673" s="559"/>
      <c r="F673" s="559"/>
      <c r="G673" s="558"/>
      <c r="H673" s="559"/>
      <c r="I673" s="559"/>
      <c r="J673" s="559"/>
      <c r="K673" s="560"/>
      <c r="L673" s="560"/>
      <c r="M673" s="560"/>
    </row>
    <row r="674" spans="3:13" s="338" customFormat="1">
      <c r="C674" s="558"/>
      <c r="D674" s="559"/>
      <c r="E674" s="559"/>
      <c r="F674" s="559"/>
      <c r="G674" s="558"/>
      <c r="H674" s="559"/>
      <c r="I674" s="559"/>
      <c r="J674" s="559"/>
      <c r="K674" s="560"/>
      <c r="L674" s="560"/>
      <c r="M674" s="560"/>
    </row>
    <row r="675" spans="3:13" s="338" customFormat="1">
      <c r="C675" s="558"/>
      <c r="D675" s="559"/>
      <c r="E675" s="559"/>
      <c r="F675" s="559"/>
      <c r="G675" s="558"/>
      <c r="H675" s="559"/>
      <c r="I675" s="559"/>
      <c r="J675" s="559"/>
      <c r="K675" s="560"/>
      <c r="L675" s="560"/>
      <c r="M675" s="560"/>
    </row>
    <row r="676" spans="3:13" s="338" customFormat="1">
      <c r="C676" s="558"/>
      <c r="D676" s="559"/>
      <c r="E676" s="559"/>
      <c r="F676" s="559"/>
      <c r="G676" s="558"/>
      <c r="H676" s="559"/>
      <c r="I676" s="559"/>
      <c r="J676" s="559"/>
      <c r="K676" s="560"/>
      <c r="L676" s="560"/>
      <c r="M676" s="560"/>
    </row>
    <row r="677" spans="3:13" s="338" customFormat="1">
      <c r="C677" s="558"/>
      <c r="D677" s="559"/>
      <c r="E677" s="559"/>
      <c r="F677" s="559"/>
      <c r="G677" s="558"/>
      <c r="H677" s="559"/>
      <c r="I677" s="559"/>
      <c r="J677" s="559"/>
      <c r="K677" s="560"/>
      <c r="L677" s="560"/>
      <c r="M677" s="560"/>
    </row>
    <row r="678" spans="3:13" s="338" customFormat="1">
      <c r="C678" s="558"/>
      <c r="D678" s="559"/>
      <c r="E678" s="559"/>
      <c r="F678" s="559"/>
      <c r="G678" s="558"/>
      <c r="H678" s="559"/>
      <c r="I678" s="559"/>
      <c r="J678" s="559"/>
      <c r="K678" s="560"/>
      <c r="L678" s="560"/>
      <c r="M678" s="560"/>
    </row>
    <row r="679" spans="3:13" s="338" customFormat="1">
      <c r="C679" s="558"/>
      <c r="D679" s="559"/>
      <c r="E679" s="559"/>
      <c r="F679" s="559"/>
      <c r="G679" s="558"/>
      <c r="H679" s="559"/>
      <c r="I679" s="559"/>
      <c r="J679" s="559"/>
      <c r="K679" s="560"/>
      <c r="L679" s="560"/>
      <c r="M679" s="560"/>
    </row>
    <row r="680" spans="3:13" s="338" customFormat="1">
      <c r="C680" s="558"/>
      <c r="D680" s="559"/>
      <c r="E680" s="559"/>
      <c r="F680" s="559"/>
      <c r="G680" s="558"/>
      <c r="H680" s="559"/>
      <c r="I680" s="559"/>
      <c r="J680" s="559"/>
      <c r="K680" s="560"/>
      <c r="L680" s="560"/>
      <c r="M680" s="560"/>
    </row>
    <row r="681" spans="3:13" s="338" customFormat="1">
      <c r="C681" s="558"/>
      <c r="D681" s="559"/>
      <c r="E681" s="559"/>
      <c r="F681" s="559"/>
      <c r="G681" s="558"/>
      <c r="H681" s="559"/>
      <c r="I681" s="559"/>
      <c r="J681" s="559"/>
      <c r="K681" s="560"/>
      <c r="L681" s="560"/>
      <c r="M681" s="560"/>
    </row>
    <row r="682" spans="3:13" s="338" customFormat="1">
      <c r="C682" s="558"/>
      <c r="D682" s="559"/>
      <c r="E682" s="559"/>
      <c r="F682" s="559"/>
      <c r="G682" s="558"/>
      <c r="H682" s="559"/>
      <c r="I682" s="559"/>
      <c r="J682" s="559"/>
      <c r="K682" s="560"/>
      <c r="L682" s="560"/>
      <c r="M682" s="560"/>
    </row>
    <row r="683" spans="3:13" s="338" customFormat="1">
      <c r="C683" s="558"/>
      <c r="D683" s="559"/>
      <c r="E683" s="559"/>
      <c r="F683" s="559"/>
      <c r="G683" s="558"/>
      <c r="H683" s="559"/>
      <c r="I683" s="559"/>
      <c r="J683" s="559"/>
      <c r="K683" s="560"/>
      <c r="L683" s="560"/>
      <c r="M683" s="560"/>
    </row>
    <row r="684" spans="3:13" s="338" customFormat="1">
      <c r="C684" s="558"/>
      <c r="D684" s="559"/>
      <c r="E684" s="559"/>
      <c r="F684" s="559"/>
      <c r="G684" s="558"/>
      <c r="H684" s="559"/>
      <c r="I684" s="559"/>
      <c r="J684" s="559"/>
      <c r="K684" s="560"/>
      <c r="L684" s="560"/>
      <c r="M684" s="560"/>
    </row>
    <row r="685" spans="3:13" s="338" customFormat="1">
      <c r="C685" s="558"/>
      <c r="D685" s="559"/>
      <c r="E685" s="559"/>
      <c r="F685" s="559"/>
      <c r="G685" s="558"/>
      <c r="H685" s="559"/>
      <c r="I685" s="559"/>
      <c r="J685" s="559"/>
      <c r="K685" s="560"/>
      <c r="L685" s="560"/>
      <c r="M685" s="560"/>
    </row>
    <row r="686" spans="3:13" s="338" customFormat="1">
      <c r="C686" s="558"/>
      <c r="D686" s="559"/>
      <c r="E686" s="559"/>
      <c r="F686" s="559"/>
      <c r="G686" s="558"/>
      <c r="H686" s="559"/>
      <c r="I686" s="559"/>
      <c r="J686" s="559"/>
      <c r="K686" s="560"/>
      <c r="L686" s="560"/>
      <c r="M686" s="560"/>
    </row>
    <row r="687" spans="3:13" s="338" customFormat="1">
      <c r="C687" s="558"/>
      <c r="D687" s="559"/>
      <c r="E687" s="559"/>
      <c r="F687" s="559"/>
      <c r="G687" s="558"/>
      <c r="H687" s="559"/>
      <c r="I687" s="559"/>
      <c r="J687" s="559"/>
      <c r="K687" s="560"/>
      <c r="L687" s="560"/>
      <c r="M687" s="560"/>
    </row>
    <row r="688" spans="3:13" s="338" customFormat="1">
      <c r="C688" s="558"/>
      <c r="D688" s="559"/>
      <c r="E688" s="559"/>
      <c r="F688" s="559"/>
      <c r="G688" s="558"/>
      <c r="H688" s="559"/>
      <c r="I688" s="559"/>
      <c r="J688" s="559"/>
      <c r="K688" s="560"/>
      <c r="L688" s="560"/>
      <c r="M688" s="560"/>
    </row>
    <row r="689" spans="3:13" s="338" customFormat="1">
      <c r="C689" s="558"/>
      <c r="D689" s="559"/>
      <c r="E689" s="559"/>
      <c r="F689" s="559"/>
      <c r="G689" s="558"/>
      <c r="H689" s="559"/>
      <c r="I689" s="559"/>
      <c r="J689" s="559"/>
      <c r="K689" s="560"/>
      <c r="L689" s="560"/>
      <c r="M689" s="560"/>
    </row>
    <row r="690" spans="3:13" s="338" customFormat="1">
      <c r="C690" s="558"/>
      <c r="D690" s="559"/>
      <c r="E690" s="559"/>
      <c r="F690" s="559"/>
      <c r="G690" s="558"/>
      <c r="H690" s="559"/>
      <c r="I690" s="559"/>
      <c r="J690" s="559"/>
      <c r="K690" s="560"/>
      <c r="L690" s="560"/>
      <c r="M690" s="560"/>
    </row>
    <row r="691" spans="3:13" s="338" customFormat="1">
      <c r="C691" s="558"/>
      <c r="D691" s="559"/>
      <c r="E691" s="559"/>
      <c r="F691" s="559"/>
      <c r="G691" s="558"/>
      <c r="H691" s="559"/>
      <c r="I691" s="559"/>
      <c r="J691" s="559"/>
      <c r="K691" s="560"/>
      <c r="L691" s="560"/>
      <c r="M691" s="560"/>
    </row>
    <row r="692" spans="3:13" s="338" customFormat="1">
      <c r="C692" s="558"/>
      <c r="D692" s="559"/>
      <c r="E692" s="559"/>
      <c r="F692" s="559"/>
      <c r="G692" s="558"/>
      <c r="H692" s="559"/>
      <c r="I692" s="559"/>
      <c r="J692" s="559"/>
      <c r="K692" s="560"/>
      <c r="L692" s="560"/>
      <c r="M692" s="560"/>
    </row>
    <row r="693" spans="3:13" s="338" customFormat="1">
      <c r="C693" s="558"/>
      <c r="D693" s="559"/>
      <c r="E693" s="559"/>
      <c r="F693" s="559"/>
      <c r="G693" s="558"/>
      <c r="H693" s="559"/>
      <c r="I693" s="559"/>
      <c r="J693" s="559"/>
      <c r="K693" s="560"/>
      <c r="L693" s="560"/>
      <c r="M693" s="560"/>
    </row>
    <row r="694" spans="3:13" s="338" customFormat="1">
      <c r="C694" s="558"/>
      <c r="D694" s="559"/>
      <c r="E694" s="559"/>
      <c r="F694" s="559"/>
      <c r="G694" s="558"/>
      <c r="H694" s="559"/>
      <c r="I694" s="559"/>
      <c r="J694" s="559"/>
      <c r="K694" s="560"/>
      <c r="L694" s="560"/>
      <c r="M694" s="560"/>
    </row>
    <row r="695" spans="3:13" s="338" customFormat="1">
      <c r="C695" s="558"/>
      <c r="D695" s="559"/>
      <c r="E695" s="559"/>
      <c r="F695" s="559"/>
      <c r="G695" s="558"/>
      <c r="H695" s="559"/>
      <c r="I695" s="559"/>
      <c r="J695" s="559"/>
      <c r="K695" s="560"/>
      <c r="L695" s="560"/>
      <c r="M695" s="560"/>
    </row>
    <row r="696" spans="3:13" s="338" customFormat="1">
      <c r="C696" s="558"/>
      <c r="D696" s="559"/>
      <c r="E696" s="559"/>
      <c r="F696" s="559"/>
      <c r="G696" s="558"/>
      <c r="H696" s="559"/>
      <c r="I696" s="559"/>
      <c r="J696" s="559"/>
      <c r="K696" s="560"/>
      <c r="L696" s="560"/>
      <c r="M696" s="560"/>
    </row>
    <row r="697" spans="3:13" s="338" customFormat="1">
      <c r="C697" s="558"/>
      <c r="D697" s="559"/>
      <c r="E697" s="559"/>
      <c r="F697" s="559"/>
      <c r="G697" s="558"/>
      <c r="H697" s="559"/>
      <c r="I697" s="559"/>
      <c r="J697" s="559"/>
      <c r="K697" s="560"/>
      <c r="L697" s="560"/>
      <c r="M697" s="560"/>
    </row>
    <row r="698" spans="3:13" s="338" customFormat="1">
      <c r="C698" s="558"/>
      <c r="D698" s="559"/>
      <c r="E698" s="559"/>
      <c r="F698" s="559"/>
      <c r="G698" s="558"/>
      <c r="H698" s="559"/>
      <c r="I698" s="559"/>
      <c r="J698" s="559"/>
      <c r="K698" s="560"/>
      <c r="L698" s="560"/>
      <c r="M698" s="560"/>
    </row>
    <row r="699" spans="3:13" s="338" customFormat="1">
      <c r="C699" s="558"/>
      <c r="D699" s="559"/>
      <c r="E699" s="559"/>
      <c r="F699" s="559"/>
      <c r="G699" s="558"/>
      <c r="H699" s="559"/>
      <c r="I699" s="559"/>
      <c r="J699" s="559"/>
      <c r="K699" s="560"/>
      <c r="L699" s="560"/>
      <c r="M699" s="560"/>
    </row>
    <row r="700" spans="3:13" s="338" customFormat="1">
      <c r="C700" s="558"/>
      <c r="D700" s="559"/>
      <c r="E700" s="559"/>
      <c r="F700" s="559"/>
      <c r="G700" s="558"/>
      <c r="H700" s="559"/>
      <c r="I700" s="559"/>
      <c r="J700" s="559"/>
      <c r="K700" s="560"/>
      <c r="L700" s="560"/>
      <c r="M700" s="560"/>
    </row>
    <row r="701" spans="3:13" s="338" customFormat="1">
      <c r="C701" s="558"/>
      <c r="D701" s="559"/>
      <c r="E701" s="559"/>
      <c r="F701" s="559"/>
      <c r="G701" s="558"/>
      <c r="H701" s="559"/>
      <c r="I701" s="559"/>
      <c r="J701" s="559"/>
      <c r="K701" s="560"/>
      <c r="L701" s="560"/>
      <c r="M701" s="560"/>
    </row>
    <row r="702" spans="3:13" s="338" customFormat="1">
      <c r="C702" s="558"/>
      <c r="D702" s="559"/>
      <c r="E702" s="559"/>
      <c r="F702" s="559"/>
      <c r="G702" s="558"/>
      <c r="H702" s="559"/>
      <c r="I702" s="559"/>
      <c r="J702" s="559"/>
      <c r="K702" s="560"/>
      <c r="L702" s="560"/>
      <c r="M702" s="560"/>
    </row>
    <row r="703" spans="3:13" s="338" customFormat="1">
      <c r="C703" s="558"/>
      <c r="D703" s="559"/>
      <c r="E703" s="559"/>
      <c r="F703" s="559"/>
      <c r="G703" s="558"/>
      <c r="H703" s="559"/>
      <c r="I703" s="559"/>
      <c r="J703" s="559"/>
      <c r="K703" s="560"/>
      <c r="L703" s="560"/>
      <c r="M703" s="560"/>
    </row>
    <row r="704" spans="3:13" s="338" customFormat="1">
      <c r="C704" s="558"/>
      <c r="D704" s="559"/>
      <c r="E704" s="559"/>
      <c r="F704" s="559"/>
      <c r="G704" s="558"/>
      <c r="H704" s="559"/>
      <c r="I704" s="559"/>
      <c r="J704" s="559"/>
      <c r="K704" s="560"/>
      <c r="L704" s="560"/>
      <c r="M704" s="560"/>
    </row>
    <row r="705" spans="3:13" s="338" customFormat="1">
      <c r="C705" s="558"/>
      <c r="D705" s="559"/>
      <c r="E705" s="559"/>
      <c r="F705" s="559"/>
      <c r="G705" s="558"/>
      <c r="H705" s="559"/>
      <c r="I705" s="559"/>
      <c r="J705" s="559"/>
      <c r="K705" s="560"/>
      <c r="L705" s="560"/>
      <c r="M705" s="560"/>
    </row>
    <row r="706" spans="3:13" s="338" customFormat="1">
      <c r="C706" s="558"/>
      <c r="D706" s="559"/>
      <c r="E706" s="559"/>
      <c r="F706" s="559"/>
      <c r="G706" s="558"/>
      <c r="H706" s="559"/>
      <c r="I706" s="559"/>
      <c r="J706" s="559"/>
      <c r="K706" s="560"/>
      <c r="L706" s="560"/>
      <c r="M706" s="560"/>
    </row>
    <row r="707" spans="3:13" s="338" customFormat="1">
      <c r="C707" s="558"/>
      <c r="D707" s="559"/>
      <c r="E707" s="559"/>
      <c r="F707" s="559"/>
      <c r="G707" s="558"/>
      <c r="H707" s="559"/>
      <c r="I707" s="559"/>
      <c r="J707" s="559"/>
      <c r="K707" s="560"/>
      <c r="L707" s="560"/>
      <c r="M707" s="560"/>
    </row>
    <row r="708" spans="3:13" s="338" customFormat="1">
      <c r="C708" s="558"/>
      <c r="D708" s="559"/>
      <c r="E708" s="559"/>
      <c r="F708" s="559"/>
      <c r="G708" s="558"/>
      <c r="H708" s="559"/>
      <c r="I708" s="559"/>
      <c r="J708" s="559"/>
      <c r="K708" s="560"/>
      <c r="L708" s="560"/>
      <c r="M708" s="560"/>
    </row>
    <row r="709" spans="3:13" s="338" customFormat="1">
      <c r="C709" s="558"/>
      <c r="D709" s="559"/>
      <c r="E709" s="559"/>
      <c r="F709" s="559"/>
      <c r="G709" s="558"/>
      <c r="H709" s="559"/>
      <c r="I709" s="559"/>
      <c r="J709" s="559"/>
      <c r="K709" s="560"/>
      <c r="L709" s="560"/>
      <c r="M709" s="560"/>
    </row>
    <row r="710" spans="3:13" s="338" customFormat="1">
      <c r="C710" s="558"/>
      <c r="D710" s="559"/>
      <c r="E710" s="559"/>
      <c r="F710" s="559"/>
      <c r="G710" s="558"/>
      <c r="H710" s="559"/>
      <c r="I710" s="559"/>
      <c r="J710" s="559"/>
      <c r="K710" s="560"/>
      <c r="L710" s="560"/>
      <c r="M710" s="560"/>
    </row>
    <row r="711" spans="3:13" s="338" customFormat="1">
      <c r="C711" s="558"/>
      <c r="D711" s="559"/>
      <c r="E711" s="559"/>
      <c r="F711" s="559"/>
      <c r="G711" s="558"/>
      <c r="H711" s="559"/>
      <c r="I711" s="559"/>
      <c r="J711" s="559"/>
      <c r="K711" s="560"/>
      <c r="L711" s="560"/>
      <c r="M711" s="560"/>
    </row>
    <row r="712" spans="3:13" s="338" customFormat="1">
      <c r="C712" s="558"/>
      <c r="D712" s="559"/>
      <c r="E712" s="559"/>
      <c r="F712" s="559"/>
      <c r="G712" s="558"/>
      <c r="H712" s="559"/>
      <c r="I712" s="559"/>
      <c r="J712" s="559"/>
      <c r="K712" s="560"/>
      <c r="L712" s="560"/>
      <c r="M712" s="560"/>
    </row>
    <row r="713" spans="3:13" s="338" customFormat="1">
      <c r="C713" s="558"/>
      <c r="D713" s="559"/>
      <c r="E713" s="559"/>
      <c r="F713" s="559"/>
      <c r="G713" s="558"/>
      <c r="H713" s="559"/>
      <c r="I713" s="559"/>
      <c r="J713" s="559"/>
      <c r="K713" s="560"/>
      <c r="L713" s="560"/>
      <c r="M713" s="560"/>
    </row>
    <row r="714" spans="3:13" s="338" customFormat="1">
      <c r="C714" s="558"/>
      <c r="D714" s="559"/>
      <c r="E714" s="559"/>
      <c r="F714" s="559"/>
      <c r="G714" s="558"/>
      <c r="H714" s="559"/>
      <c r="I714" s="559"/>
      <c r="J714" s="559"/>
      <c r="K714" s="560"/>
      <c r="L714" s="560"/>
      <c r="M714" s="560"/>
    </row>
    <row r="715" spans="3:13" s="338" customFormat="1">
      <c r="C715" s="558"/>
      <c r="D715" s="559"/>
      <c r="E715" s="559"/>
      <c r="F715" s="559"/>
      <c r="G715" s="558"/>
      <c r="H715" s="559"/>
      <c r="I715" s="559"/>
      <c r="J715" s="559"/>
      <c r="K715" s="560"/>
      <c r="L715" s="560"/>
      <c r="M715" s="560"/>
    </row>
    <row r="716" spans="3:13" s="338" customFormat="1">
      <c r="C716" s="558"/>
      <c r="D716" s="559"/>
      <c r="E716" s="559"/>
      <c r="F716" s="559"/>
      <c r="G716" s="558"/>
      <c r="H716" s="559"/>
      <c r="I716" s="559"/>
      <c r="J716" s="559"/>
      <c r="K716" s="560"/>
      <c r="L716" s="560"/>
      <c r="M716" s="560"/>
    </row>
    <row r="717" spans="3:13" s="338" customFormat="1">
      <c r="C717" s="558"/>
      <c r="D717" s="559"/>
      <c r="E717" s="559"/>
      <c r="F717" s="559"/>
      <c r="G717" s="558"/>
      <c r="H717" s="559"/>
      <c r="I717" s="559"/>
      <c r="J717" s="559"/>
      <c r="K717" s="560"/>
      <c r="L717" s="560"/>
      <c r="M717" s="560"/>
    </row>
    <row r="718" spans="3:13" s="338" customFormat="1">
      <c r="C718" s="558"/>
      <c r="D718" s="559"/>
      <c r="E718" s="559"/>
      <c r="F718" s="559"/>
      <c r="G718" s="558"/>
      <c r="H718" s="559"/>
      <c r="I718" s="559"/>
      <c r="J718" s="559"/>
      <c r="K718" s="560"/>
      <c r="L718" s="560"/>
      <c r="M718" s="560"/>
    </row>
    <row r="719" spans="3:13" s="338" customFormat="1">
      <c r="C719" s="558"/>
      <c r="D719" s="559"/>
      <c r="E719" s="559"/>
      <c r="F719" s="559"/>
      <c r="G719" s="558"/>
      <c r="H719" s="559"/>
      <c r="I719" s="559"/>
      <c r="J719" s="559"/>
      <c r="K719" s="560"/>
      <c r="L719" s="560"/>
      <c r="M719" s="560"/>
    </row>
    <row r="720" spans="3:13" s="338" customFormat="1">
      <c r="C720" s="558"/>
      <c r="D720" s="559"/>
      <c r="E720" s="559"/>
      <c r="F720" s="559"/>
      <c r="G720" s="558"/>
      <c r="H720" s="559"/>
      <c r="I720" s="559"/>
      <c r="J720" s="559"/>
      <c r="K720" s="560"/>
      <c r="L720" s="560"/>
      <c r="M720" s="560"/>
    </row>
    <row r="721" spans="3:13" s="338" customFormat="1">
      <c r="C721" s="558"/>
      <c r="D721" s="559"/>
      <c r="E721" s="559"/>
      <c r="F721" s="559"/>
      <c r="G721" s="558"/>
      <c r="H721" s="559"/>
      <c r="I721" s="559"/>
      <c r="J721" s="559"/>
      <c r="K721" s="560"/>
      <c r="L721" s="560"/>
      <c r="M721" s="560"/>
    </row>
    <row r="722" spans="3:13" s="338" customFormat="1">
      <c r="C722" s="558"/>
      <c r="D722" s="559"/>
      <c r="E722" s="559"/>
      <c r="F722" s="559"/>
      <c r="G722" s="558"/>
      <c r="H722" s="559"/>
      <c r="I722" s="559"/>
      <c r="J722" s="559"/>
      <c r="K722" s="560"/>
      <c r="L722" s="560"/>
      <c r="M722" s="560"/>
    </row>
    <row r="723" spans="3:13" s="338" customFormat="1">
      <c r="C723" s="558"/>
      <c r="D723" s="559"/>
      <c r="E723" s="559"/>
      <c r="F723" s="559"/>
      <c r="G723" s="558"/>
      <c r="H723" s="559"/>
      <c r="I723" s="559"/>
      <c r="J723" s="559"/>
      <c r="K723" s="560"/>
      <c r="L723" s="560"/>
      <c r="M723" s="560"/>
    </row>
    <row r="724" spans="3:13" s="338" customFormat="1">
      <c r="C724" s="558"/>
      <c r="D724" s="559"/>
      <c r="E724" s="559"/>
      <c r="F724" s="559"/>
      <c r="G724" s="558"/>
      <c r="H724" s="559"/>
      <c r="I724" s="559"/>
      <c r="J724" s="559"/>
      <c r="K724" s="560"/>
      <c r="L724" s="560"/>
      <c r="M724" s="560"/>
    </row>
    <row r="725" spans="3:13" s="338" customFormat="1">
      <c r="C725" s="558"/>
      <c r="D725" s="559"/>
      <c r="E725" s="559"/>
      <c r="F725" s="559"/>
      <c r="G725" s="558"/>
      <c r="H725" s="559"/>
      <c r="I725" s="559"/>
      <c r="J725" s="559"/>
      <c r="K725" s="560"/>
      <c r="L725" s="560"/>
      <c r="M725" s="560"/>
    </row>
    <row r="726" spans="3:13" s="338" customFormat="1">
      <c r="C726" s="558"/>
      <c r="D726" s="559"/>
      <c r="E726" s="559"/>
      <c r="F726" s="559"/>
      <c r="G726" s="558"/>
      <c r="H726" s="559"/>
      <c r="I726" s="559"/>
      <c r="J726" s="559"/>
      <c r="K726" s="560"/>
      <c r="L726" s="560"/>
      <c r="M726" s="560"/>
    </row>
    <row r="727" spans="3:13" s="338" customFormat="1">
      <c r="C727" s="558"/>
      <c r="D727" s="559"/>
      <c r="E727" s="559"/>
      <c r="F727" s="559"/>
      <c r="G727" s="558"/>
      <c r="H727" s="559"/>
      <c r="I727" s="559"/>
      <c r="J727" s="559"/>
      <c r="K727" s="560"/>
      <c r="L727" s="560"/>
      <c r="M727" s="560"/>
    </row>
    <row r="728" spans="3:13" s="338" customFormat="1">
      <c r="C728" s="558"/>
      <c r="D728" s="559"/>
      <c r="E728" s="559"/>
      <c r="F728" s="559"/>
      <c r="G728" s="558"/>
      <c r="H728" s="559"/>
      <c r="I728" s="559"/>
      <c r="J728" s="559"/>
      <c r="K728" s="560"/>
      <c r="L728" s="560"/>
      <c r="M728" s="560"/>
    </row>
    <row r="729" spans="3:13" s="338" customFormat="1">
      <c r="C729" s="558"/>
      <c r="D729" s="559"/>
      <c r="E729" s="559"/>
      <c r="F729" s="559"/>
      <c r="G729" s="558"/>
      <c r="H729" s="559"/>
      <c r="I729" s="559"/>
      <c r="J729" s="559"/>
      <c r="K729" s="560"/>
      <c r="L729" s="560"/>
      <c r="M729" s="560"/>
    </row>
    <row r="730" spans="3:13" s="338" customFormat="1">
      <c r="C730" s="558"/>
      <c r="D730" s="559"/>
      <c r="E730" s="559"/>
      <c r="F730" s="559"/>
      <c r="G730" s="558"/>
      <c r="H730" s="559"/>
      <c r="I730" s="559"/>
      <c r="J730" s="559"/>
      <c r="K730" s="560"/>
      <c r="L730" s="560"/>
      <c r="M730" s="560"/>
    </row>
    <row r="731" spans="3:13" s="338" customFormat="1">
      <c r="C731" s="558"/>
      <c r="D731" s="559"/>
      <c r="E731" s="559"/>
      <c r="F731" s="559"/>
      <c r="G731" s="558"/>
      <c r="H731" s="559"/>
      <c r="I731" s="559"/>
      <c r="J731" s="559"/>
      <c r="K731" s="560"/>
      <c r="L731" s="560"/>
      <c r="M731" s="560"/>
    </row>
    <row r="732" spans="3:13" s="338" customFormat="1">
      <c r="C732" s="558"/>
      <c r="D732" s="559"/>
      <c r="E732" s="559"/>
      <c r="F732" s="559"/>
      <c r="G732" s="558"/>
      <c r="H732" s="559"/>
      <c r="I732" s="559"/>
      <c r="J732" s="559"/>
      <c r="K732" s="560"/>
      <c r="L732" s="560"/>
      <c r="M732" s="560"/>
    </row>
    <row r="733" spans="3:13" s="338" customFormat="1">
      <c r="C733" s="558"/>
      <c r="D733" s="559"/>
      <c r="E733" s="559"/>
      <c r="F733" s="559"/>
      <c r="G733" s="558"/>
      <c r="H733" s="559"/>
      <c r="I733" s="559"/>
      <c r="J733" s="559"/>
      <c r="K733" s="560"/>
      <c r="L733" s="560"/>
      <c r="M733" s="560"/>
    </row>
    <row r="734" spans="3:13" s="338" customFormat="1">
      <c r="C734" s="558"/>
      <c r="D734" s="559"/>
      <c r="E734" s="559"/>
      <c r="F734" s="559"/>
      <c r="G734" s="558"/>
      <c r="H734" s="559"/>
      <c r="I734" s="559"/>
      <c r="J734" s="559"/>
      <c r="K734" s="560"/>
      <c r="L734" s="560"/>
      <c r="M734" s="560"/>
    </row>
    <row r="735" spans="3:13" s="338" customFormat="1">
      <c r="C735" s="558"/>
      <c r="D735" s="559"/>
      <c r="E735" s="559"/>
      <c r="F735" s="559"/>
      <c r="G735" s="558"/>
      <c r="H735" s="559"/>
      <c r="I735" s="559"/>
      <c r="J735" s="559"/>
      <c r="K735" s="560"/>
      <c r="L735" s="560"/>
      <c r="M735" s="560"/>
    </row>
    <row r="736" spans="3:13" s="338" customFormat="1">
      <c r="C736" s="558"/>
      <c r="D736" s="559"/>
      <c r="E736" s="559"/>
      <c r="F736" s="559"/>
      <c r="G736" s="558"/>
      <c r="H736" s="559"/>
      <c r="I736" s="559"/>
      <c r="J736" s="559"/>
      <c r="K736" s="560"/>
      <c r="L736" s="560"/>
      <c r="M736" s="560"/>
    </row>
    <row r="737" spans="3:13" s="338" customFormat="1">
      <c r="C737" s="558"/>
      <c r="D737" s="559"/>
      <c r="E737" s="559"/>
      <c r="F737" s="559"/>
      <c r="G737" s="558"/>
      <c r="H737" s="559"/>
      <c r="I737" s="559"/>
      <c r="J737" s="559"/>
      <c r="K737" s="560"/>
      <c r="L737" s="560"/>
      <c r="M737" s="560"/>
    </row>
    <row r="738" spans="3:13" s="338" customFormat="1">
      <c r="C738" s="558"/>
      <c r="D738" s="559"/>
      <c r="E738" s="559"/>
      <c r="F738" s="559"/>
      <c r="G738" s="558"/>
      <c r="H738" s="559"/>
      <c r="I738" s="559"/>
      <c r="J738" s="559"/>
      <c r="K738" s="560"/>
      <c r="L738" s="560"/>
      <c r="M738" s="560"/>
    </row>
    <row r="739" spans="3:13" s="338" customFormat="1">
      <c r="C739" s="558"/>
      <c r="D739" s="559"/>
      <c r="E739" s="559"/>
      <c r="F739" s="559"/>
      <c r="G739" s="558"/>
      <c r="H739" s="559"/>
      <c r="I739" s="559"/>
      <c r="J739" s="559"/>
      <c r="K739" s="560"/>
      <c r="L739" s="560"/>
      <c r="M739" s="560"/>
    </row>
    <row r="740" spans="3:13" s="338" customFormat="1">
      <c r="C740" s="558"/>
      <c r="D740" s="559"/>
      <c r="E740" s="559"/>
      <c r="F740" s="559"/>
      <c r="G740" s="558"/>
      <c r="H740" s="559"/>
      <c r="I740" s="559"/>
      <c r="J740" s="559"/>
      <c r="K740" s="560"/>
      <c r="L740" s="560"/>
      <c r="M740" s="560"/>
    </row>
    <row r="741" spans="3:13" s="338" customFormat="1">
      <c r="C741" s="558"/>
      <c r="D741" s="559"/>
      <c r="E741" s="559"/>
      <c r="F741" s="559"/>
      <c r="G741" s="558"/>
      <c r="H741" s="559"/>
      <c r="I741" s="559"/>
      <c r="J741" s="559"/>
      <c r="K741" s="560"/>
      <c r="L741" s="560"/>
      <c r="M741" s="560"/>
    </row>
    <row r="742" spans="3:13" s="338" customFormat="1">
      <c r="C742" s="558"/>
      <c r="D742" s="559"/>
      <c r="E742" s="559"/>
      <c r="F742" s="559"/>
      <c r="G742" s="558"/>
      <c r="H742" s="559"/>
      <c r="I742" s="559"/>
      <c r="J742" s="559"/>
      <c r="K742" s="560"/>
      <c r="L742" s="560"/>
      <c r="M742" s="560"/>
    </row>
    <row r="743" spans="3:13" s="338" customFormat="1">
      <c r="C743" s="558"/>
      <c r="D743" s="559"/>
      <c r="E743" s="559"/>
      <c r="F743" s="559"/>
      <c r="G743" s="558"/>
      <c r="H743" s="559"/>
      <c r="I743" s="559"/>
      <c r="J743" s="559"/>
      <c r="K743" s="560"/>
      <c r="L743" s="560"/>
      <c r="M743" s="560"/>
    </row>
    <row r="744" spans="3:13" s="338" customFormat="1">
      <c r="C744" s="558"/>
      <c r="D744" s="559"/>
      <c r="E744" s="559"/>
      <c r="F744" s="559"/>
      <c r="G744" s="558"/>
      <c r="H744" s="559"/>
      <c r="I744" s="559"/>
      <c r="J744" s="559"/>
      <c r="K744" s="560"/>
      <c r="L744" s="560"/>
      <c r="M744" s="560"/>
    </row>
    <row r="745" spans="3:13" s="338" customFormat="1">
      <c r="C745" s="558"/>
      <c r="D745" s="559"/>
      <c r="E745" s="559"/>
      <c r="F745" s="559"/>
      <c r="G745" s="558"/>
      <c r="H745" s="559"/>
      <c r="I745" s="559"/>
      <c r="J745" s="559"/>
      <c r="K745" s="560"/>
      <c r="L745" s="560"/>
      <c r="M745" s="560"/>
    </row>
    <row r="746" spans="3:13" s="338" customFormat="1">
      <c r="C746" s="558"/>
      <c r="D746" s="559"/>
      <c r="E746" s="559"/>
      <c r="F746" s="559"/>
      <c r="G746" s="558"/>
      <c r="H746" s="559"/>
      <c r="I746" s="559"/>
      <c r="J746" s="559"/>
      <c r="K746" s="560"/>
      <c r="L746" s="560"/>
      <c r="M746" s="560"/>
    </row>
    <row r="747" spans="3:13" s="338" customFormat="1">
      <c r="C747" s="558"/>
      <c r="D747" s="559"/>
      <c r="E747" s="559"/>
      <c r="F747" s="559"/>
      <c r="G747" s="558"/>
      <c r="H747" s="559"/>
      <c r="I747" s="559"/>
      <c r="J747" s="559"/>
      <c r="K747" s="560"/>
      <c r="L747" s="560"/>
      <c r="M747" s="560"/>
    </row>
    <row r="748" spans="3:13" s="338" customFormat="1">
      <c r="C748" s="558"/>
      <c r="D748" s="559"/>
      <c r="E748" s="559"/>
      <c r="F748" s="559"/>
      <c r="G748" s="558"/>
      <c r="H748" s="559"/>
      <c r="I748" s="559"/>
      <c r="J748" s="559"/>
      <c r="K748" s="560"/>
      <c r="L748" s="560"/>
      <c r="M748" s="560"/>
    </row>
    <row r="749" spans="3:13" s="338" customFormat="1">
      <c r="C749" s="558"/>
      <c r="D749" s="559"/>
      <c r="E749" s="559"/>
      <c r="F749" s="559"/>
      <c r="G749" s="558"/>
      <c r="H749" s="559"/>
      <c r="I749" s="559"/>
      <c r="J749" s="559"/>
      <c r="K749" s="560"/>
      <c r="L749" s="560"/>
      <c r="M749" s="560"/>
    </row>
    <row r="750" spans="3:13" s="338" customFormat="1">
      <c r="C750" s="558"/>
      <c r="D750" s="559"/>
      <c r="E750" s="559"/>
      <c r="F750" s="559"/>
      <c r="G750" s="558"/>
      <c r="H750" s="559"/>
      <c r="I750" s="559"/>
      <c r="J750" s="559"/>
      <c r="K750" s="560"/>
      <c r="L750" s="560"/>
      <c r="M750" s="560"/>
    </row>
    <row r="751" spans="3:13" s="338" customFormat="1">
      <c r="C751" s="558"/>
      <c r="D751" s="559"/>
      <c r="E751" s="559"/>
      <c r="F751" s="559"/>
      <c r="G751" s="558"/>
      <c r="H751" s="559"/>
      <c r="I751" s="559"/>
      <c r="J751" s="559"/>
      <c r="K751" s="560"/>
      <c r="L751" s="560"/>
      <c r="M751" s="560"/>
    </row>
    <row r="752" spans="3:13" s="338" customFormat="1">
      <c r="C752" s="558"/>
      <c r="D752" s="559"/>
      <c r="E752" s="559"/>
      <c r="F752" s="559"/>
      <c r="G752" s="558"/>
      <c r="H752" s="559"/>
      <c r="I752" s="559"/>
      <c r="J752" s="559"/>
      <c r="K752" s="560"/>
      <c r="L752" s="560"/>
      <c r="M752" s="560"/>
    </row>
    <row r="753" spans="3:13" s="338" customFormat="1">
      <c r="C753" s="558"/>
      <c r="D753" s="559"/>
      <c r="E753" s="559"/>
      <c r="F753" s="559"/>
      <c r="G753" s="558"/>
      <c r="H753" s="559"/>
      <c r="I753" s="559"/>
      <c r="J753" s="559"/>
      <c r="K753" s="560"/>
      <c r="L753" s="560"/>
      <c r="M753" s="560"/>
    </row>
    <row r="754" spans="3:13" s="338" customFormat="1">
      <c r="C754" s="558"/>
      <c r="D754" s="559"/>
      <c r="E754" s="559"/>
      <c r="F754" s="559"/>
      <c r="G754" s="558"/>
      <c r="H754" s="559"/>
      <c r="I754" s="559"/>
      <c r="J754" s="559"/>
      <c r="K754" s="560"/>
      <c r="L754" s="560"/>
      <c r="M754" s="560"/>
    </row>
    <row r="755" spans="3:13" s="338" customFormat="1">
      <c r="C755" s="558"/>
      <c r="D755" s="559"/>
      <c r="E755" s="559"/>
      <c r="F755" s="559"/>
      <c r="G755" s="558"/>
      <c r="H755" s="559"/>
      <c r="I755" s="559"/>
      <c r="J755" s="559"/>
      <c r="K755" s="560"/>
      <c r="L755" s="560"/>
      <c r="M755" s="560"/>
    </row>
    <row r="756" spans="3:13" s="338" customFormat="1">
      <c r="C756" s="558"/>
      <c r="D756" s="559"/>
      <c r="E756" s="559"/>
      <c r="F756" s="559"/>
      <c r="G756" s="558"/>
      <c r="H756" s="559"/>
      <c r="I756" s="559"/>
      <c r="J756" s="559"/>
      <c r="K756" s="560"/>
      <c r="L756" s="560"/>
      <c r="M756" s="560"/>
    </row>
    <row r="757" spans="3:13" s="338" customFormat="1">
      <c r="C757" s="558"/>
      <c r="D757" s="559"/>
      <c r="E757" s="559"/>
      <c r="F757" s="559"/>
      <c r="G757" s="558"/>
      <c r="H757" s="559"/>
      <c r="I757" s="559"/>
      <c r="J757" s="559"/>
      <c r="K757" s="560"/>
      <c r="L757" s="560"/>
      <c r="M757" s="560"/>
    </row>
    <row r="758" spans="3:13" s="338" customFormat="1">
      <c r="C758" s="558"/>
      <c r="D758" s="559"/>
      <c r="E758" s="559"/>
      <c r="F758" s="559"/>
      <c r="G758" s="558"/>
      <c r="H758" s="559"/>
      <c r="I758" s="559"/>
      <c r="J758" s="559"/>
      <c r="K758" s="560"/>
      <c r="L758" s="560"/>
      <c r="M758" s="560"/>
    </row>
    <row r="759" spans="3:13" s="338" customFormat="1">
      <c r="C759" s="558"/>
      <c r="D759" s="559"/>
      <c r="E759" s="559"/>
      <c r="F759" s="559"/>
      <c r="G759" s="558"/>
      <c r="H759" s="559"/>
      <c r="I759" s="559"/>
      <c r="J759" s="559"/>
      <c r="K759" s="560"/>
      <c r="L759" s="560"/>
      <c r="M759" s="560"/>
    </row>
    <row r="760" spans="3:13" s="338" customFormat="1">
      <c r="C760" s="558"/>
      <c r="D760" s="559"/>
      <c r="E760" s="559"/>
      <c r="F760" s="559"/>
      <c r="G760" s="558"/>
      <c r="H760" s="559"/>
      <c r="I760" s="559"/>
      <c r="J760" s="559"/>
      <c r="K760" s="560"/>
      <c r="L760" s="560"/>
      <c r="M760" s="560"/>
    </row>
    <row r="761" spans="3:13" s="338" customFormat="1">
      <c r="C761" s="558"/>
      <c r="D761" s="559"/>
      <c r="E761" s="559"/>
      <c r="F761" s="559"/>
      <c r="G761" s="558"/>
      <c r="H761" s="559"/>
      <c r="I761" s="559"/>
      <c r="J761" s="559"/>
      <c r="K761" s="560"/>
      <c r="L761" s="560"/>
      <c r="M761" s="560"/>
    </row>
    <row r="762" spans="3:13" s="338" customFormat="1">
      <c r="C762" s="558"/>
      <c r="D762" s="559"/>
      <c r="E762" s="559"/>
      <c r="F762" s="559"/>
      <c r="G762" s="558"/>
      <c r="H762" s="559"/>
      <c r="I762" s="559"/>
      <c r="J762" s="559"/>
      <c r="K762" s="560"/>
      <c r="L762" s="560"/>
      <c r="M762" s="560"/>
    </row>
    <row r="763" spans="3:13" s="338" customFormat="1">
      <c r="C763" s="558"/>
      <c r="D763" s="559"/>
      <c r="E763" s="559"/>
      <c r="F763" s="559"/>
      <c r="G763" s="558"/>
      <c r="H763" s="559"/>
      <c r="I763" s="559"/>
      <c r="J763" s="559"/>
      <c r="K763" s="560"/>
      <c r="L763" s="560"/>
      <c r="M763" s="560"/>
    </row>
    <row r="764" spans="3:13" s="338" customFormat="1">
      <c r="C764" s="558"/>
      <c r="D764" s="559"/>
      <c r="E764" s="559"/>
      <c r="F764" s="559"/>
      <c r="G764" s="558"/>
      <c r="H764" s="559"/>
      <c r="I764" s="559"/>
      <c r="J764" s="559"/>
      <c r="K764" s="560"/>
      <c r="L764" s="560"/>
      <c r="M764" s="560"/>
    </row>
    <row r="765" spans="3:13" s="338" customFormat="1">
      <c r="C765" s="558"/>
      <c r="D765" s="559"/>
      <c r="E765" s="559"/>
      <c r="F765" s="559"/>
      <c r="G765" s="558"/>
      <c r="H765" s="559"/>
      <c r="I765" s="559"/>
      <c r="J765" s="559"/>
      <c r="K765" s="560"/>
      <c r="L765" s="560"/>
      <c r="M765" s="560"/>
    </row>
    <row r="766" spans="3:13" s="338" customFormat="1">
      <c r="C766" s="558"/>
      <c r="D766" s="559"/>
      <c r="E766" s="559"/>
      <c r="F766" s="559"/>
      <c r="G766" s="558"/>
      <c r="H766" s="559"/>
      <c r="I766" s="559"/>
      <c r="J766" s="559"/>
      <c r="K766" s="560"/>
      <c r="L766" s="560"/>
      <c r="M766" s="560"/>
    </row>
    <row r="767" spans="3:13" s="338" customFormat="1">
      <c r="C767" s="558"/>
      <c r="D767" s="559"/>
      <c r="E767" s="559"/>
      <c r="F767" s="559"/>
      <c r="G767" s="558"/>
      <c r="H767" s="559"/>
      <c r="I767" s="559"/>
      <c r="J767" s="559"/>
      <c r="K767" s="560"/>
      <c r="L767" s="560"/>
      <c r="M767" s="560"/>
    </row>
    <row r="768" spans="3:13" s="338" customFormat="1">
      <c r="C768" s="558"/>
      <c r="D768" s="559"/>
      <c r="E768" s="559"/>
      <c r="F768" s="559"/>
      <c r="G768" s="558"/>
      <c r="H768" s="559"/>
      <c r="I768" s="559"/>
      <c r="J768" s="559"/>
      <c r="K768" s="560"/>
      <c r="L768" s="560"/>
      <c r="M768" s="560"/>
    </row>
    <row r="769" spans="3:13" s="338" customFormat="1">
      <c r="C769" s="558"/>
      <c r="D769" s="559"/>
      <c r="E769" s="559"/>
      <c r="F769" s="559"/>
      <c r="G769" s="558"/>
      <c r="H769" s="559"/>
      <c r="I769" s="559"/>
      <c r="J769" s="559"/>
      <c r="K769" s="560"/>
      <c r="L769" s="560"/>
      <c r="M769" s="560"/>
    </row>
    <row r="770" spans="3:13" s="338" customFormat="1">
      <c r="C770" s="558"/>
      <c r="D770" s="559"/>
      <c r="E770" s="559"/>
      <c r="F770" s="559"/>
      <c r="G770" s="558"/>
      <c r="H770" s="559"/>
      <c r="I770" s="559"/>
      <c r="J770" s="559"/>
      <c r="K770" s="560"/>
      <c r="L770" s="560"/>
      <c r="M770" s="560"/>
    </row>
    <row r="771" spans="3:13" s="338" customFormat="1">
      <c r="C771" s="558"/>
      <c r="D771" s="559"/>
      <c r="E771" s="559"/>
      <c r="F771" s="559"/>
      <c r="G771" s="558"/>
      <c r="H771" s="559"/>
      <c r="I771" s="559"/>
      <c r="J771" s="559"/>
      <c r="K771" s="560"/>
      <c r="L771" s="560"/>
      <c r="M771" s="560"/>
    </row>
    <row r="772" spans="3:13" s="338" customFormat="1">
      <c r="C772" s="558"/>
      <c r="D772" s="559"/>
      <c r="E772" s="559"/>
      <c r="F772" s="559"/>
      <c r="G772" s="558"/>
      <c r="H772" s="559"/>
      <c r="I772" s="559"/>
      <c r="J772" s="559"/>
      <c r="K772" s="560"/>
      <c r="L772" s="560"/>
      <c r="M772" s="560"/>
    </row>
    <row r="773" spans="3:13" s="338" customFormat="1">
      <c r="C773" s="558"/>
      <c r="D773" s="559"/>
      <c r="E773" s="559"/>
      <c r="F773" s="559"/>
      <c r="G773" s="558"/>
      <c r="H773" s="559"/>
      <c r="I773" s="559"/>
      <c r="J773" s="559"/>
      <c r="K773" s="560"/>
      <c r="L773" s="560"/>
      <c r="M773" s="560"/>
    </row>
    <row r="774" spans="3:13" s="338" customFormat="1">
      <c r="C774" s="558"/>
      <c r="D774" s="559"/>
      <c r="E774" s="559"/>
      <c r="F774" s="559"/>
      <c r="G774" s="558"/>
      <c r="H774" s="559"/>
      <c r="I774" s="559"/>
      <c r="J774" s="559"/>
      <c r="K774" s="560"/>
      <c r="L774" s="560"/>
      <c r="M774" s="560"/>
    </row>
    <row r="775" spans="3:13" s="338" customFormat="1">
      <c r="C775" s="558"/>
      <c r="D775" s="559"/>
      <c r="E775" s="559"/>
      <c r="F775" s="559"/>
      <c r="G775" s="558"/>
      <c r="H775" s="559"/>
      <c r="I775" s="559"/>
      <c r="J775" s="559"/>
      <c r="K775" s="560"/>
      <c r="L775" s="560"/>
      <c r="M775" s="560"/>
    </row>
    <row r="776" spans="3:13" s="338" customFormat="1">
      <c r="C776" s="558"/>
      <c r="D776" s="559"/>
      <c r="E776" s="559"/>
      <c r="F776" s="559"/>
      <c r="G776" s="558"/>
      <c r="H776" s="559"/>
      <c r="I776" s="559"/>
      <c r="J776" s="559"/>
      <c r="K776" s="560"/>
      <c r="L776" s="560"/>
      <c r="M776" s="560"/>
    </row>
    <row r="777" spans="3:13" s="338" customFormat="1">
      <c r="C777" s="558"/>
      <c r="D777" s="559"/>
      <c r="E777" s="559"/>
      <c r="F777" s="559"/>
      <c r="G777" s="558"/>
      <c r="H777" s="559"/>
      <c r="I777" s="559"/>
      <c r="J777" s="559"/>
      <c r="K777" s="560"/>
      <c r="L777" s="560"/>
      <c r="M777" s="560"/>
    </row>
    <row r="778" spans="3:13" s="338" customFormat="1">
      <c r="C778" s="558"/>
      <c r="D778" s="559"/>
      <c r="E778" s="559"/>
      <c r="F778" s="559"/>
      <c r="G778" s="558"/>
      <c r="H778" s="559"/>
      <c r="I778" s="559"/>
      <c r="J778" s="559"/>
      <c r="K778" s="560"/>
      <c r="L778" s="560"/>
      <c r="M778" s="560"/>
    </row>
    <row r="779" spans="3:13" s="338" customFormat="1">
      <c r="C779" s="558"/>
      <c r="D779" s="559"/>
      <c r="E779" s="559"/>
      <c r="F779" s="559"/>
      <c r="G779" s="558"/>
      <c r="H779" s="559"/>
      <c r="I779" s="559"/>
      <c r="J779" s="559"/>
      <c r="K779" s="560"/>
      <c r="L779" s="560"/>
      <c r="M779" s="560"/>
    </row>
    <row r="780" spans="3:13" s="338" customFormat="1">
      <c r="C780" s="558"/>
      <c r="D780" s="559"/>
      <c r="E780" s="559"/>
      <c r="F780" s="559"/>
      <c r="G780" s="558"/>
      <c r="H780" s="559"/>
      <c r="I780" s="559"/>
      <c r="J780" s="559"/>
      <c r="K780" s="560"/>
      <c r="L780" s="560"/>
      <c r="M780" s="560"/>
    </row>
    <row r="781" spans="3:13" s="338" customFormat="1">
      <c r="C781" s="558"/>
      <c r="D781" s="559"/>
      <c r="E781" s="559"/>
      <c r="F781" s="559"/>
      <c r="G781" s="558"/>
      <c r="H781" s="559"/>
      <c r="I781" s="559"/>
      <c r="J781" s="559"/>
      <c r="K781" s="560"/>
      <c r="L781" s="560"/>
      <c r="M781" s="560"/>
    </row>
    <row r="782" spans="3:13" s="338" customFormat="1">
      <c r="C782" s="558"/>
      <c r="D782" s="559"/>
      <c r="E782" s="559"/>
      <c r="F782" s="559"/>
      <c r="G782" s="558"/>
      <c r="H782" s="559"/>
      <c r="I782" s="559"/>
      <c r="J782" s="559"/>
      <c r="K782" s="560"/>
      <c r="L782" s="560"/>
      <c r="M782" s="560"/>
    </row>
    <row r="783" spans="3:13" s="338" customFormat="1">
      <c r="C783" s="558"/>
      <c r="D783" s="559"/>
      <c r="E783" s="559"/>
      <c r="F783" s="559"/>
      <c r="G783" s="558"/>
      <c r="H783" s="559"/>
      <c r="I783" s="559"/>
      <c r="J783" s="559"/>
      <c r="K783" s="560"/>
      <c r="L783" s="560"/>
      <c r="M783" s="560"/>
    </row>
    <row r="784" spans="3:13" s="338" customFormat="1">
      <c r="C784" s="558"/>
      <c r="D784" s="559"/>
      <c r="E784" s="559"/>
      <c r="F784" s="559"/>
      <c r="G784" s="558"/>
      <c r="H784" s="559"/>
      <c r="I784" s="559"/>
      <c r="J784" s="559"/>
      <c r="K784" s="560"/>
      <c r="L784" s="560"/>
      <c r="M784" s="560"/>
    </row>
    <row r="785" spans="3:13" s="338" customFormat="1">
      <c r="C785" s="558"/>
      <c r="D785" s="559"/>
      <c r="E785" s="559"/>
      <c r="F785" s="559"/>
      <c r="G785" s="558"/>
      <c r="H785" s="559"/>
      <c r="I785" s="559"/>
      <c r="J785" s="559"/>
      <c r="K785" s="560"/>
      <c r="L785" s="560"/>
      <c r="M785" s="560"/>
    </row>
    <row r="786" spans="3:13" s="338" customFormat="1">
      <c r="C786" s="558"/>
      <c r="D786" s="559"/>
      <c r="E786" s="559"/>
      <c r="F786" s="559"/>
      <c r="G786" s="558"/>
      <c r="H786" s="559"/>
      <c r="I786" s="559"/>
      <c r="J786" s="559"/>
      <c r="K786" s="560"/>
      <c r="L786" s="560"/>
      <c r="M786" s="560"/>
    </row>
    <row r="787" spans="3:13" s="338" customFormat="1">
      <c r="C787" s="558"/>
      <c r="D787" s="559"/>
      <c r="E787" s="559"/>
      <c r="F787" s="559"/>
      <c r="G787" s="558"/>
      <c r="H787" s="559"/>
      <c r="I787" s="559"/>
      <c r="J787" s="559"/>
      <c r="K787" s="560"/>
      <c r="L787" s="560"/>
      <c r="M787" s="560"/>
    </row>
    <row r="788" spans="3:13" s="338" customFormat="1">
      <c r="C788" s="558"/>
      <c r="D788" s="559"/>
      <c r="E788" s="559"/>
      <c r="F788" s="559"/>
      <c r="G788" s="558"/>
      <c r="H788" s="559"/>
      <c r="I788" s="559"/>
      <c r="J788" s="559"/>
      <c r="K788" s="560"/>
      <c r="L788" s="560"/>
      <c r="M788" s="560"/>
    </row>
    <row r="789" spans="3:13" s="338" customFormat="1">
      <c r="C789" s="558"/>
      <c r="D789" s="559"/>
      <c r="E789" s="559"/>
      <c r="F789" s="559"/>
      <c r="G789" s="558"/>
      <c r="H789" s="559"/>
      <c r="I789" s="559"/>
      <c r="J789" s="559"/>
      <c r="K789" s="560"/>
      <c r="L789" s="560"/>
      <c r="M789" s="560"/>
    </row>
    <row r="790" spans="3:13" s="338" customFormat="1">
      <c r="C790" s="558"/>
      <c r="D790" s="559"/>
      <c r="E790" s="559"/>
      <c r="F790" s="559"/>
      <c r="G790" s="558"/>
      <c r="H790" s="559"/>
      <c r="I790" s="559"/>
      <c r="J790" s="559"/>
      <c r="K790" s="560"/>
      <c r="L790" s="560"/>
      <c r="M790" s="560"/>
    </row>
    <row r="791" spans="3:13" s="338" customFormat="1">
      <c r="C791" s="558"/>
      <c r="D791" s="559"/>
      <c r="E791" s="559"/>
      <c r="F791" s="559"/>
      <c r="G791" s="558"/>
      <c r="H791" s="559"/>
      <c r="I791" s="559"/>
      <c r="J791" s="559"/>
      <c r="K791" s="560"/>
      <c r="L791" s="560"/>
      <c r="M791" s="560"/>
    </row>
    <row r="792" spans="3:13" s="338" customFormat="1">
      <c r="C792" s="558"/>
      <c r="D792" s="559"/>
      <c r="E792" s="559"/>
      <c r="F792" s="559"/>
      <c r="G792" s="558"/>
      <c r="H792" s="559"/>
      <c r="I792" s="559"/>
      <c r="J792" s="559"/>
      <c r="K792" s="560"/>
      <c r="L792" s="560"/>
      <c r="M792" s="560"/>
    </row>
    <row r="793" spans="3:13" s="338" customFormat="1">
      <c r="C793" s="558"/>
      <c r="D793" s="559"/>
      <c r="E793" s="559"/>
      <c r="F793" s="559"/>
      <c r="G793" s="558"/>
      <c r="H793" s="559"/>
      <c r="I793" s="559"/>
      <c r="J793" s="559"/>
      <c r="K793" s="560"/>
      <c r="L793" s="560"/>
      <c r="M793" s="560"/>
    </row>
    <row r="794" spans="3:13" s="338" customFormat="1">
      <c r="C794" s="558"/>
      <c r="D794" s="559"/>
      <c r="E794" s="559"/>
      <c r="F794" s="559"/>
      <c r="G794" s="558"/>
      <c r="H794" s="559"/>
      <c r="I794" s="559"/>
      <c r="J794" s="559"/>
      <c r="K794" s="560"/>
      <c r="L794" s="560"/>
      <c r="M794" s="560"/>
    </row>
    <row r="795" spans="3:13" s="338" customFormat="1">
      <c r="C795" s="558"/>
      <c r="D795" s="559"/>
      <c r="E795" s="559"/>
      <c r="F795" s="559"/>
      <c r="G795" s="558"/>
      <c r="H795" s="559"/>
      <c r="I795" s="559"/>
      <c r="J795" s="559"/>
      <c r="K795" s="560"/>
      <c r="L795" s="560"/>
      <c r="M795" s="560"/>
    </row>
    <row r="796" spans="3:13" s="338" customFormat="1">
      <c r="C796" s="558"/>
      <c r="D796" s="559"/>
      <c r="E796" s="559"/>
      <c r="F796" s="559"/>
      <c r="G796" s="558"/>
      <c r="H796" s="559"/>
      <c r="I796" s="559"/>
      <c r="J796" s="559"/>
      <c r="K796" s="560"/>
      <c r="L796" s="560"/>
      <c r="M796" s="560"/>
    </row>
    <row r="797" spans="3:13" s="338" customFormat="1">
      <c r="C797" s="558"/>
      <c r="D797" s="559"/>
      <c r="E797" s="559"/>
      <c r="F797" s="559"/>
      <c r="G797" s="558"/>
      <c r="H797" s="559"/>
      <c r="I797" s="559"/>
      <c r="J797" s="559"/>
      <c r="K797" s="560"/>
      <c r="L797" s="560"/>
      <c r="M797" s="560"/>
    </row>
    <row r="798" spans="3:13" s="338" customFormat="1">
      <c r="C798" s="558"/>
      <c r="D798" s="559"/>
      <c r="E798" s="559"/>
      <c r="F798" s="559"/>
      <c r="G798" s="558"/>
      <c r="H798" s="559"/>
      <c r="I798" s="559"/>
      <c r="J798" s="559"/>
      <c r="K798" s="560"/>
      <c r="L798" s="560"/>
      <c r="M798" s="560"/>
    </row>
    <row r="799" spans="3:13" s="338" customFormat="1">
      <c r="C799" s="558"/>
      <c r="D799" s="559"/>
      <c r="E799" s="559"/>
      <c r="F799" s="559"/>
      <c r="G799" s="558"/>
      <c r="H799" s="559"/>
      <c r="I799" s="559"/>
      <c r="J799" s="559"/>
      <c r="K799" s="560"/>
      <c r="L799" s="560"/>
      <c r="M799" s="560"/>
    </row>
    <row r="800" spans="3:13" s="338" customFormat="1">
      <c r="C800" s="558"/>
      <c r="D800" s="559"/>
      <c r="E800" s="559"/>
      <c r="F800" s="559"/>
      <c r="G800" s="558"/>
      <c r="H800" s="559"/>
      <c r="I800" s="559"/>
      <c r="J800" s="559"/>
      <c r="K800" s="560"/>
      <c r="L800" s="560"/>
      <c r="M800" s="560"/>
    </row>
    <row r="801" spans="3:13" s="338" customFormat="1">
      <c r="C801" s="558"/>
      <c r="D801" s="559"/>
      <c r="E801" s="559"/>
      <c r="F801" s="559"/>
      <c r="G801" s="558"/>
      <c r="H801" s="559"/>
      <c r="I801" s="559"/>
      <c r="J801" s="559"/>
      <c r="K801" s="560"/>
      <c r="L801" s="560"/>
      <c r="M801" s="560"/>
    </row>
    <row r="802" spans="3:13" s="338" customFormat="1">
      <c r="C802" s="558"/>
      <c r="D802" s="559"/>
      <c r="E802" s="559"/>
      <c r="F802" s="559"/>
      <c r="G802" s="558"/>
      <c r="H802" s="559"/>
      <c r="I802" s="559"/>
      <c r="J802" s="559"/>
      <c r="K802" s="560"/>
      <c r="L802" s="560"/>
      <c r="M802" s="560"/>
    </row>
    <row r="803" spans="3:13" s="338" customFormat="1">
      <c r="C803" s="558"/>
      <c r="D803" s="559"/>
      <c r="E803" s="559"/>
      <c r="F803" s="559"/>
      <c r="G803" s="558"/>
      <c r="H803" s="559"/>
      <c r="I803" s="559"/>
      <c r="J803" s="559"/>
      <c r="K803" s="560"/>
      <c r="L803" s="560"/>
      <c r="M803" s="560"/>
    </row>
    <row r="804" spans="3:13" s="338" customFormat="1">
      <c r="C804" s="558"/>
      <c r="D804" s="559"/>
      <c r="E804" s="559"/>
      <c r="F804" s="559"/>
      <c r="G804" s="558"/>
      <c r="H804" s="559"/>
      <c r="I804" s="559"/>
      <c r="J804" s="559"/>
      <c r="K804" s="560"/>
      <c r="L804" s="560"/>
      <c r="M804" s="560"/>
    </row>
    <row r="805" spans="3:13" s="338" customFormat="1">
      <c r="C805" s="558"/>
      <c r="D805" s="559"/>
      <c r="E805" s="559"/>
      <c r="F805" s="559"/>
      <c r="G805" s="558"/>
      <c r="H805" s="559"/>
      <c r="I805" s="559"/>
      <c r="J805" s="559"/>
      <c r="K805" s="560"/>
      <c r="L805" s="560"/>
      <c r="M805" s="560"/>
    </row>
    <row r="806" spans="3:13" s="338" customFormat="1">
      <c r="C806" s="558"/>
      <c r="D806" s="559"/>
      <c r="E806" s="559"/>
      <c r="F806" s="559"/>
      <c r="G806" s="558"/>
      <c r="H806" s="559"/>
      <c r="I806" s="559"/>
      <c r="J806" s="559"/>
      <c r="K806" s="560"/>
      <c r="L806" s="560"/>
      <c r="M806" s="560"/>
    </row>
    <row r="807" spans="3:13" s="338" customFormat="1">
      <c r="C807" s="558"/>
      <c r="D807" s="559"/>
      <c r="E807" s="559"/>
      <c r="F807" s="559"/>
      <c r="G807" s="558"/>
      <c r="H807" s="559"/>
      <c r="I807" s="559"/>
      <c r="J807" s="559"/>
      <c r="K807" s="560"/>
      <c r="L807" s="560"/>
      <c r="M807" s="560"/>
    </row>
    <row r="808" spans="3:13" s="338" customFormat="1">
      <c r="C808" s="558"/>
      <c r="D808" s="559"/>
      <c r="E808" s="559"/>
      <c r="F808" s="559"/>
      <c r="G808" s="558"/>
      <c r="H808" s="559"/>
      <c r="I808" s="559"/>
      <c r="J808" s="559"/>
      <c r="K808" s="560"/>
      <c r="L808" s="560"/>
      <c r="M808" s="560"/>
    </row>
    <row r="809" spans="3:13" s="338" customFormat="1">
      <c r="C809" s="558"/>
      <c r="D809" s="559"/>
      <c r="E809" s="559"/>
      <c r="F809" s="559"/>
      <c r="G809" s="558"/>
      <c r="H809" s="559"/>
      <c r="I809" s="559"/>
      <c r="J809" s="559"/>
      <c r="K809" s="560"/>
      <c r="L809" s="560"/>
      <c r="M809" s="560"/>
    </row>
    <row r="810" spans="3:13" s="338" customFormat="1">
      <c r="C810" s="558"/>
      <c r="D810" s="559"/>
      <c r="E810" s="559"/>
      <c r="F810" s="559"/>
      <c r="G810" s="558"/>
      <c r="H810" s="559"/>
      <c r="I810" s="559"/>
      <c r="J810" s="559"/>
      <c r="K810" s="560"/>
      <c r="L810" s="560"/>
      <c r="M810" s="560"/>
    </row>
    <row r="811" spans="3:13" s="338" customFormat="1">
      <c r="C811" s="558"/>
      <c r="D811" s="559"/>
      <c r="E811" s="559"/>
      <c r="F811" s="559"/>
      <c r="G811" s="558"/>
      <c r="H811" s="559"/>
      <c r="I811" s="559"/>
      <c r="J811" s="559"/>
      <c r="K811" s="560"/>
      <c r="L811" s="560"/>
      <c r="M811" s="560"/>
    </row>
    <row r="812" spans="3:13" s="338" customFormat="1">
      <c r="C812" s="558"/>
      <c r="D812" s="559"/>
      <c r="E812" s="559"/>
      <c r="F812" s="559"/>
      <c r="G812" s="558"/>
      <c r="H812" s="559"/>
      <c r="I812" s="559"/>
      <c r="J812" s="559"/>
      <c r="K812" s="560"/>
      <c r="L812" s="560"/>
      <c r="M812" s="560"/>
    </row>
    <row r="813" spans="3:13" s="338" customFormat="1">
      <c r="C813" s="558"/>
      <c r="D813" s="559"/>
      <c r="E813" s="559"/>
      <c r="F813" s="559"/>
      <c r="G813" s="558"/>
      <c r="H813" s="559"/>
      <c r="I813" s="559"/>
      <c r="J813" s="559"/>
      <c r="K813" s="560"/>
      <c r="L813" s="560"/>
      <c r="M813" s="560"/>
    </row>
    <row r="814" spans="3:13" s="338" customFormat="1">
      <c r="C814" s="558"/>
      <c r="D814" s="559"/>
      <c r="E814" s="559"/>
      <c r="F814" s="559"/>
      <c r="G814" s="558"/>
      <c r="H814" s="559"/>
      <c r="I814" s="559"/>
      <c r="J814" s="559"/>
      <c r="K814" s="560"/>
      <c r="L814" s="560"/>
      <c r="M814" s="560"/>
    </row>
    <row r="815" spans="3:13" s="338" customFormat="1">
      <c r="C815" s="558"/>
      <c r="D815" s="559"/>
      <c r="E815" s="559"/>
      <c r="F815" s="559"/>
      <c r="G815" s="558"/>
      <c r="H815" s="559"/>
      <c r="I815" s="559"/>
      <c r="J815" s="559"/>
      <c r="K815" s="560"/>
      <c r="L815" s="560"/>
      <c r="M815" s="560"/>
    </row>
    <row r="816" spans="3:13" s="338" customFormat="1">
      <c r="C816" s="558"/>
      <c r="D816" s="559"/>
      <c r="E816" s="559"/>
      <c r="F816" s="559"/>
      <c r="G816" s="558"/>
      <c r="H816" s="559"/>
      <c r="I816" s="559"/>
      <c r="J816" s="559"/>
      <c r="K816" s="560"/>
      <c r="L816" s="560"/>
      <c r="M816" s="560"/>
    </row>
    <row r="817" spans="3:13" s="338" customFormat="1">
      <c r="C817" s="558"/>
      <c r="D817" s="559"/>
      <c r="E817" s="559"/>
      <c r="F817" s="559"/>
      <c r="G817" s="558"/>
      <c r="H817" s="559"/>
      <c r="I817" s="559"/>
      <c r="J817" s="559"/>
      <c r="K817" s="560"/>
      <c r="L817" s="560"/>
      <c r="M817" s="560"/>
    </row>
    <row r="818" spans="3:13" s="338" customFormat="1">
      <c r="C818" s="558"/>
      <c r="D818" s="559"/>
      <c r="E818" s="559"/>
      <c r="F818" s="559"/>
      <c r="G818" s="558"/>
      <c r="H818" s="559"/>
      <c r="I818" s="559"/>
      <c r="J818" s="559"/>
      <c r="K818" s="560"/>
      <c r="L818" s="560"/>
      <c r="M818" s="560"/>
    </row>
    <row r="819" spans="3:13" s="338" customFormat="1">
      <c r="C819" s="558"/>
      <c r="D819" s="559"/>
      <c r="E819" s="559"/>
      <c r="F819" s="559"/>
      <c r="G819" s="558"/>
      <c r="H819" s="559"/>
      <c r="I819" s="559"/>
      <c r="J819" s="559"/>
      <c r="K819" s="560"/>
      <c r="L819" s="560"/>
      <c r="M819" s="560"/>
    </row>
    <row r="820" spans="3:13" s="338" customFormat="1">
      <c r="C820" s="558"/>
      <c r="D820" s="559"/>
      <c r="E820" s="559"/>
      <c r="F820" s="559"/>
      <c r="G820" s="558"/>
      <c r="H820" s="559"/>
      <c r="I820" s="559"/>
      <c r="J820" s="559"/>
      <c r="K820" s="560"/>
      <c r="L820" s="560"/>
      <c r="M820" s="560"/>
    </row>
    <row r="821" spans="3:13" s="338" customFormat="1">
      <c r="C821" s="558"/>
      <c r="D821" s="559"/>
      <c r="E821" s="559"/>
      <c r="F821" s="559"/>
      <c r="G821" s="558"/>
      <c r="H821" s="559"/>
      <c r="I821" s="559"/>
      <c r="J821" s="559"/>
      <c r="K821" s="560"/>
      <c r="L821" s="560"/>
      <c r="M821" s="560"/>
    </row>
    <row r="822" spans="3:13" s="338" customFormat="1">
      <c r="C822" s="558"/>
      <c r="D822" s="559"/>
      <c r="E822" s="559"/>
      <c r="F822" s="559"/>
      <c r="G822" s="558"/>
      <c r="H822" s="559"/>
      <c r="I822" s="559"/>
      <c r="J822" s="559"/>
      <c r="K822" s="560"/>
      <c r="L822" s="560"/>
      <c r="M822" s="560"/>
    </row>
    <row r="823" spans="3:13" s="338" customFormat="1">
      <c r="C823" s="558"/>
      <c r="D823" s="559"/>
      <c r="E823" s="559"/>
      <c r="F823" s="559"/>
      <c r="G823" s="558"/>
      <c r="H823" s="559"/>
      <c r="I823" s="559"/>
      <c r="J823" s="559"/>
      <c r="K823" s="560"/>
      <c r="L823" s="560"/>
      <c r="M823" s="560"/>
    </row>
    <row r="824" spans="3:13" s="338" customFormat="1">
      <c r="C824" s="558"/>
      <c r="D824" s="559"/>
      <c r="E824" s="559"/>
      <c r="F824" s="559"/>
      <c r="G824" s="558"/>
      <c r="H824" s="559"/>
      <c r="I824" s="559"/>
      <c r="J824" s="559"/>
      <c r="K824" s="560"/>
      <c r="L824" s="560"/>
      <c r="M824" s="560"/>
    </row>
    <row r="825" spans="3:13" s="338" customFormat="1">
      <c r="C825" s="558"/>
      <c r="D825" s="559"/>
      <c r="E825" s="559"/>
      <c r="F825" s="559"/>
      <c r="G825" s="558"/>
      <c r="H825" s="559"/>
      <c r="I825" s="559"/>
      <c r="J825" s="559"/>
      <c r="K825" s="560"/>
      <c r="L825" s="560"/>
      <c r="M825" s="560"/>
    </row>
    <row r="826" spans="3:13" s="338" customFormat="1">
      <c r="C826" s="558"/>
      <c r="D826" s="559"/>
      <c r="E826" s="559"/>
      <c r="F826" s="559"/>
      <c r="G826" s="558"/>
      <c r="H826" s="559"/>
      <c r="I826" s="559"/>
      <c r="J826" s="559"/>
      <c r="K826" s="560"/>
      <c r="L826" s="560"/>
      <c r="M826" s="560"/>
    </row>
    <row r="827" spans="3:13" s="338" customFormat="1">
      <c r="C827" s="558"/>
      <c r="D827" s="559"/>
      <c r="E827" s="559"/>
      <c r="F827" s="559"/>
      <c r="G827" s="558"/>
      <c r="H827" s="559"/>
      <c r="I827" s="559"/>
      <c r="J827" s="559"/>
      <c r="K827" s="560"/>
      <c r="L827" s="560"/>
      <c r="M827" s="560"/>
    </row>
    <row r="828" spans="3:13" s="338" customFormat="1">
      <c r="C828" s="558"/>
      <c r="D828" s="559"/>
      <c r="E828" s="559"/>
      <c r="F828" s="559"/>
      <c r="G828" s="558"/>
      <c r="H828" s="559"/>
      <c r="I828" s="559"/>
      <c r="J828" s="559"/>
      <c r="K828" s="560"/>
      <c r="L828" s="560"/>
      <c r="M828" s="560"/>
    </row>
    <row r="829" spans="3:13" s="338" customFormat="1">
      <c r="C829" s="558"/>
      <c r="D829" s="559"/>
      <c r="E829" s="559"/>
      <c r="F829" s="559"/>
      <c r="G829" s="558"/>
      <c r="H829" s="559"/>
      <c r="I829" s="559"/>
      <c r="J829" s="559"/>
      <c r="K829" s="560"/>
      <c r="L829" s="560"/>
      <c r="M829" s="560"/>
    </row>
    <row r="830" spans="3:13" s="338" customFormat="1">
      <c r="C830" s="558"/>
      <c r="D830" s="559"/>
      <c r="E830" s="559"/>
      <c r="F830" s="559"/>
      <c r="G830" s="558"/>
      <c r="H830" s="559"/>
      <c r="I830" s="559"/>
      <c r="J830" s="559"/>
      <c r="K830" s="560"/>
      <c r="L830" s="560"/>
      <c r="M830" s="560"/>
    </row>
    <row r="831" spans="3:13" s="338" customFormat="1">
      <c r="C831" s="558"/>
      <c r="D831" s="559"/>
      <c r="E831" s="559"/>
      <c r="F831" s="559"/>
      <c r="G831" s="558"/>
      <c r="H831" s="559"/>
      <c r="I831" s="559"/>
      <c r="J831" s="559"/>
      <c r="K831" s="560"/>
      <c r="L831" s="560"/>
      <c r="M831" s="560"/>
    </row>
    <row r="832" spans="3:13" s="338" customFormat="1">
      <c r="C832" s="558"/>
      <c r="D832" s="559"/>
      <c r="E832" s="559"/>
      <c r="F832" s="559"/>
      <c r="G832" s="558"/>
      <c r="H832" s="559"/>
      <c r="I832" s="559"/>
      <c r="J832" s="559"/>
      <c r="K832" s="560"/>
      <c r="L832" s="560"/>
      <c r="M832" s="560"/>
    </row>
    <row r="833" spans="3:13" s="338" customFormat="1">
      <c r="C833" s="558"/>
      <c r="D833" s="559"/>
      <c r="E833" s="559"/>
      <c r="F833" s="559"/>
      <c r="G833" s="558"/>
      <c r="H833" s="559"/>
      <c r="I833" s="559"/>
      <c r="J833" s="559"/>
      <c r="K833" s="560"/>
      <c r="L833" s="560"/>
      <c r="M833" s="560"/>
    </row>
    <row r="834" spans="3:13" s="338" customFormat="1">
      <c r="C834" s="558"/>
      <c r="D834" s="559"/>
      <c r="E834" s="559"/>
      <c r="F834" s="559"/>
      <c r="G834" s="558"/>
      <c r="H834" s="559"/>
      <c r="I834" s="559"/>
      <c r="J834" s="559"/>
      <c r="K834" s="560"/>
      <c r="L834" s="560"/>
      <c r="M834" s="560"/>
    </row>
    <row r="835" spans="3:13" s="338" customFormat="1">
      <c r="C835" s="558"/>
      <c r="D835" s="559"/>
      <c r="E835" s="559"/>
      <c r="F835" s="559"/>
      <c r="G835" s="558"/>
      <c r="H835" s="559"/>
      <c r="I835" s="559"/>
      <c r="J835" s="559"/>
      <c r="K835" s="560"/>
      <c r="L835" s="560"/>
      <c r="M835" s="560"/>
    </row>
    <row r="836" spans="3:13" s="338" customFormat="1">
      <c r="C836" s="558"/>
      <c r="D836" s="559"/>
      <c r="E836" s="559"/>
      <c r="F836" s="559"/>
      <c r="G836" s="558"/>
      <c r="H836" s="559"/>
      <c r="I836" s="559"/>
      <c r="J836" s="559"/>
      <c r="K836" s="560"/>
      <c r="L836" s="560"/>
      <c r="M836" s="560"/>
    </row>
    <row r="837" spans="3:13" s="338" customFormat="1">
      <c r="C837" s="558"/>
      <c r="D837" s="559"/>
      <c r="E837" s="559"/>
      <c r="F837" s="559"/>
      <c r="G837" s="558"/>
      <c r="H837" s="559"/>
      <c r="I837" s="559"/>
      <c r="J837" s="559"/>
      <c r="K837" s="560"/>
      <c r="L837" s="560"/>
      <c r="M837" s="560"/>
    </row>
    <row r="838" spans="3:13" s="338" customFormat="1">
      <c r="C838" s="558"/>
      <c r="D838" s="559"/>
      <c r="E838" s="559"/>
      <c r="F838" s="559"/>
      <c r="G838" s="558"/>
      <c r="H838" s="559"/>
      <c r="I838" s="559"/>
      <c r="J838" s="559"/>
      <c r="K838" s="560"/>
      <c r="L838" s="560"/>
      <c r="M838" s="560"/>
    </row>
    <row r="839" spans="3:13" s="338" customFormat="1">
      <c r="C839" s="558"/>
      <c r="D839" s="559"/>
      <c r="E839" s="559"/>
      <c r="F839" s="559"/>
      <c r="G839" s="558"/>
      <c r="H839" s="559"/>
      <c r="I839" s="559"/>
      <c r="J839" s="559"/>
      <c r="K839" s="560"/>
      <c r="L839" s="560"/>
      <c r="M839" s="560"/>
    </row>
    <row r="840" spans="3:13" s="338" customFormat="1">
      <c r="C840" s="558"/>
      <c r="D840" s="559"/>
      <c r="E840" s="559"/>
      <c r="F840" s="559"/>
      <c r="G840" s="558"/>
      <c r="H840" s="559"/>
      <c r="I840" s="559"/>
      <c r="J840" s="559"/>
      <c r="K840" s="560"/>
      <c r="L840" s="560"/>
      <c r="M840" s="560"/>
    </row>
    <row r="841" spans="3:13" s="338" customFormat="1">
      <c r="C841" s="558"/>
      <c r="D841" s="559"/>
      <c r="E841" s="559"/>
      <c r="F841" s="559"/>
      <c r="G841" s="558"/>
      <c r="H841" s="559"/>
      <c r="I841" s="559"/>
      <c r="J841" s="559"/>
      <c r="K841" s="560"/>
      <c r="L841" s="560"/>
      <c r="M841" s="560"/>
    </row>
    <row r="842" spans="3:13" s="338" customFormat="1">
      <c r="C842" s="558"/>
      <c r="D842" s="559"/>
      <c r="E842" s="559"/>
      <c r="F842" s="559"/>
      <c r="G842" s="558"/>
      <c r="H842" s="559"/>
      <c r="I842" s="559"/>
      <c r="J842" s="559"/>
      <c r="K842" s="560"/>
      <c r="L842" s="560"/>
      <c r="M842" s="560"/>
    </row>
    <row r="843" spans="3:13" s="338" customFormat="1">
      <c r="C843" s="558"/>
      <c r="D843" s="559"/>
      <c r="E843" s="559"/>
      <c r="F843" s="559"/>
      <c r="G843" s="558"/>
      <c r="H843" s="559"/>
      <c r="I843" s="559"/>
      <c r="J843" s="559"/>
      <c r="K843" s="560"/>
      <c r="L843" s="560"/>
      <c r="M843" s="560"/>
    </row>
    <row r="844" spans="3:13" s="338" customFormat="1">
      <c r="C844" s="558"/>
      <c r="D844" s="559"/>
      <c r="E844" s="559"/>
      <c r="F844" s="559"/>
      <c r="G844" s="558"/>
      <c r="H844" s="559"/>
      <c r="I844" s="559"/>
      <c r="J844" s="559"/>
      <c r="K844" s="560"/>
      <c r="L844" s="560"/>
      <c r="M844" s="560"/>
    </row>
    <row r="845" spans="3:13" s="338" customFormat="1">
      <c r="C845" s="558"/>
      <c r="D845" s="559"/>
      <c r="E845" s="559"/>
      <c r="F845" s="559"/>
      <c r="G845" s="558"/>
      <c r="H845" s="559"/>
      <c r="I845" s="559"/>
      <c r="J845" s="559"/>
      <c r="K845" s="560"/>
      <c r="L845" s="560"/>
      <c r="M845" s="560"/>
    </row>
    <row r="846" spans="3:13" s="338" customFormat="1">
      <c r="C846" s="558"/>
      <c r="D846" s="559"/>
      <c r="E846" s="559"/>
      <c r="F846" s="559"/>
      <c r="G846" s="558"/>
      <c r="H846" s="559"/>
      <c r="I846" s="559"/>
      <c r="J846" s="559"/>
      <c r="K846" s="560"/>
      <c r="L846" s="560"/>
      <c r="M846" s="560"/>
    </row>
    <row r="847" spans="3:13" s="338" customFormat="1">
      <c r="C847" s="558"/>
      <c r="D847" s="559"/>
      <c r="E847" s="559"/>
      <c r="F847" s="559"/>
      <c r="G847" s="558"/>
      <c r="H847" s="559"/>
      <c r="I847" s="559"/>
      <c r="J847" s="559"/>
      <c r="K847" s="560"/>
      <c r="L847" s="560"/>
      <c r="M847" s="560"/>
    </row>
    <row r="848" spans="3:13" s="338" customFormat="1">
      <c r="C848" s="558"/>
      <c r="D848" s="559"/>
      <c r="E848" s="559"/>
      <c r="F848" s="559"/>
      <c r="G848" s="558"/>
      <c r="H848" s="559"/>
      <c r="I848" s="559"/>
      <c r="J848" s="559"/>
      <c r="K848" s="560"/>
      <c r="L848" s="560"/>
      <c r="M848" s="560"/>
    </row>
    <row r="849" spans="3:13" s="338" customFormat="1">
      <c r="C849" s="558"/>
      <c r="D849" s="559"/>
      <c r="E849" s="559"/>
      <c r="F849" s="559"/>
      <c r="G849" s="558"/>
      <c r="H849" s="559"/>
      <c r="I849" s="559"/>
      <c r="J849" s="559"/>
      <c r="K849" s="560"/>
      <c r="L849" s="560"/>
      <c r="M849" s="560"/>
    </row>
    <row r="850" spans="3:13" s="338" customFormat="1">
      <c r="C850" s="558"/>
      <c r="D850" s="559"/>
      <c r="E850" s="559"/>
      <c r="F850" s="559"/>
      <c r="G850" s="558"/>
      <c r="H850" s="559"/>
      <c r="I850" s="559"/>
      <c r="J850" s="559"/>
      <c r="K850" s="560"/>
      <c r="L850" s="560"/>
      <c r="M850" s="560"/>
    </row>
    <row r="851" spans="3:13" s="338" customFormat="1">
      <c r="C851" s="558"/>
      <c r="D851" s="559"/>
      <c r="E851" s="559"/>
      <c r="F851" s="559"/>
      <c r="G851" s="558"/>
      <c r="H851" s="559"/>
      <c r="I851" s="559"/>
      <c r="J851" s="559"/>
      <c r="K851" s="560"/>
      <c r="L851" s="560"/>
      <c r="M851" s="560"/>
    </row>
    <row r="852" spans="3:13" s="338" customFormat="1">
      <c r="C852" s="558"/>
      <c r="D852" s="559"/>
      <c r="E852" s="559"/>
      <c r="F852" s="559"/>
      <c r="G852" s="558"/>
      <c r="H852" s="559"/>
      <c r="I852" s="559"/>
      <c r="J852" s="559"/>
      <c r="K852" s="560"/>
      <c r="L852" s="560"/>
      <c r="M852" s="560"/>
    </row>
    <row r="853" spans="3:13" s="338" customFormat="1">
      <c r="C853" s="558"/>
      <c r="D853" s="559"/>
      <c r="E853" s="559"/>
      <c r="F853" s="559"/>
      <c r="G853" s="558"/>
      <c r="H853" s="559"/>
      <c r="I853" s="559"/>
      <c r="J853" s="559"/>
      <c r="K853" s="560"/>
      <c r="L853" s="560"/>
      <c r="M853" s="560"/>
    </row>
    <row r="854" spans="3:13" s="338" customFormat="1">
      <c r="C854" s="558"/>
      <c r="D854" s="559"/>
      <c r="E854" s="559"/>
      <c r="F854" s="559"/>
      <c r="G854" s="558"/>
      <c r="H854" s="559"/>
      <c r="I854" s="559"/>
      <c r="J854" s="559"/>
      <c r="K854" s="560"/>
      <c r="L854" s="560"/>
      <c r="M854" s="560"/>
    </row>
    <row r="855" spans="3:13" s="338" customFormat="1">
      <c r="C855" s="558"/>
      <c r="D855" s="559"/>
      <c r="E855" s="559"/>
      <c r="F855" s="559"/>
      <c r="G855" s="558"/>
      <c r="H855" s="559"/>
      <c r="I855" s="559"/>
      <c r="J855" s="559"/>
      <c r="K855" s="560"/>
      <c r="L855" s="560"/>
      <c r="M855" s="560"/>
    </row>
    <row r="856" spans="3:13" s="338" customFormat="1">
      <c r="C856" s="558"/>
      <c r="D856" s="559"/>
      <c r="E856" s="559"/>
      <c r="F856" s="559"/>
      <c r="G856" s="558"/>
      <c r="H856" s="559"/>
      <c r="I856" s="559"/>
      <c r="J856" s="559"/>
      <c r="K856" s="560"/>
      <c r="L856" s="560"/>
      <c r="M856" s="560"/>
    </row>
    <row r="857" spans="3:13" s="338" customFormat="1">
      <c r="C857" s="558"/>
      <c r="D857" s="559"/>
      <c r="E857" s="559"/>
      <c r="F857" s="559"/>
      <c r="G857" s="558"/>
      <c r="H857" s="559"/>
      <c r="I857" s="559"/>
      <c r="J857" s="559"/>
      <c r="K857" s="560"/>
      <c r="L857" s="560"/>
      <c r="M857" s="560"/>
    </row>
    <row r="858" spans="3:13" s="338" customFormat="1">
      <c r="C858" s="558"/>
      <c r="D858" s="559"/>
      <c r="E858" s="559"/>
      <c r="F858" s="559"/>
      <c r="G858" s="558"/>
      <c r="H858" s="559"/>
      <c r="I858" s="559"/>
      <c r="J858" s="559"/>
      <c r="K858" s="560"/>
      <c r="L858" s="560"/>
      <c r="M858" s="560"/>
    </row>
    <row r="859" spans="3:13" s="338" customFormat="1">
      <c r="C859" s="558"/>
      <c r="D859" s="559"/>
      <c r="E859" s="559"/>
      <c r="F859" s="559"/>
      <c r="G859" s="558"/>
      <c r="H859" s="559"/>
      <c r="I859" s="559"/>
      <c r="J859" s="559"/>
      <c r="K859" s="560"/>
      <c r="L859" s="560"/>
      <c r="M859" s="560"/>
    </row>
    <row r="860" spans="3:13" s="338" customFormat="1">
      <c r="C860" s="558"/>
      <c r="D860" s="559"/>
      <c r="E860" s="559"/>
      <c r="F860" s="559"/>
      <c r="G860" s="558"/>
      <c r="H860" s="559"/>
      <c r="I860" s="559"/>
      <c r="J860" s="559"/>
      <c r="K860" s="560"/>
      <c r="L860" s="560"/>
      <c r="M860" s="560"/>
    </row>
    <row r="861" spans="3:13" s="338" customFormat="1">
      <c r="C861" s="558"/>
      <c r="D861" s="559"/>
      <c r="E861" s="559"/>
      <c r="F861" s="559"/>
      <c r="G861" s="558"/>
      <c r="H861" s="559"/>
      <c r="I861" s="559"/>
      <c r="J861" s="559"/>
      <c r="K861" s="560"/>
      <c r="L861" s="560"/>
      <c r="M861" s="560"/>
    </row>
    <row r="862" spans="3:13" s="338" customFormat="1">
      <c r="C862" s="558"/>
      <c r="D862" s="559"/>
      <c r="E862" s="559"/>
      <c r="F862" s="559"/>
      <c r="G862" s="558"/>
      <c r="H862" s="559"/>
      <c r="I862" s="559"/>
      <c r="J862" s="559"/>
      <c r="K862" s="560"/>
      <c r="L862" s="560"/>
      <c r="M862" s="560"/>
    </row>
    <row r="863" spans="3:13" s="338" customFormat="1">
      <c r="C863" s="558"/>
      <c r="D863" s="559"/>
      <c r="E863" s="559"/>
      <c r="F863" s="559"/>
      <c r="G863" s="558"/>
      <c r="H863" s="559"/>
      <c r="I863" s="559"/>
      <c r="J863" s="559"/>
      <c r="K863" s="560"/>
      <c r="L863" s="560"/>
      <c r="M863" s="560"/>
    </row>
    <row r="864" spans="3:13" s="338" customFormat="1">
      <c r="C864" s="558"/>
      <c r="D864" s="559"/>
      <c r="E864" s="559"/>
      <c r="F864" s="559"/>
      <c r="G864" s="558"/>
      <c r="H864" s="559"/>
      <c r="I864" s="559"/>
      <c r="J864" s="559"/>
      <c r="K864" s="560"/>
      <c r="L864" s="560"/>
      <c r="M864" s="560"/>
    </row>
    <row r="865" spans="3:13" s="338" customFormat="1">
      <c r="C865" s="558"/>
      <c r="D865" s="559"/>
      <c r="E865" s="559"/>
      <c r="F865" s="559"/>
      <c r="G865" s="558"/>
      <c r="H865" s="559"/>
      <c r="I865" s="559"/>
      <c r="J865" s="559"/>
      <c r="K865" s="560"/>
      <c r="L865" s="560"/>
      <c r="M865" s="560"/>
    </row>
    <row r="866" spans="3:13" s="338" customFormat="1">
      <c r="C866" s="558"/>
      <c r="D866" s="559"/>
      <c r="E866" s="559"/>
      <c r="F866" s="559"/>
      <c r="G866" s="558"/>
      <c r="H866" s="559"/>
      <c r="I866" s="559"/>
      <c r="J866" s="559"/>
      <c r="K866" s="560"/>
      <c r="L866" s="560"/>
      <c r="M866" s="560"/>
    </row>
    <row r="867" spans="3:13" s="338" customFormat="1">
      <c r="C867" s="558"/>
      <c r="D867" s="559"/>
      <c r="E867" s="559"/>
      <c r="F867" s="559"/>
      <c r="G867" s="558"/>
      <c r="H867" s="559"/>
      <c r="I867" s="559"/>
      <c r="J867" s="559"/>
      <c r="K867" s="560"/>
      <c r="L867" s="560"/>
      <c r="M867" s="560"/>
    </row>
    <row r="868" spans="3:13" s="338" customFormat="1">
      <c r="C868" s="558"/>
      <c r="D868" s="559"/>
      <c r="E868" s="559"/>
      <c r="F868" s="559"/>
      <c r="G868" s="558"/>
      <c r="H868" s="559"/>
      <c r="I868" s="559"/>
      <c r="J868" s="559"/>
      <c r="K868" s="560"/>
      <c r="L868" s="560"/>
      <c r="M868" s="560"/>
    </row>
    <row r="869" spans="3:13" s="338" customFormat="1">
      <c r="C869" s="558"/>
      <c r="D869" s="559"/>
      <c r="E869" s="559"/>
      <c r="F869" s="559"/>
      <c r="G869" s="558"/>
      <c r="H869" s="559"/>
      <c r="I869" s="559"/>
      <c r="J869" s="559"/>
      <c r="K869" s="560"/>
      <c r="L869" s="560"/>
      <c r="M869" s="560"/>
    </row>
    <row r="870" spans="3:13" s="338" customFormat="1">
      <c r="C870" s="558"/>
      <c r="D870" s="559"/>
      <c r="E870" s="559"/>
      <c r="F870" s="559"/>
      <c r="G870" s="558"/>
      <c r="H870" s="559"/>
      <c r="I870" s="559"/>
      <c r="J870" s="559"/>
      <c r="K870" s="560"/>
      <c r="L870" s="560"/>
      <c r="M870" s="560"/>
    </row>
    <row r="871" spans="3:13" s="338" customFormat="1">
      <c r="C871" s="558"/>
      <c r="D871" s="559"/>
      <c r="E871" s="559"/>
      <c r="F871" s="559"/>
      <c r="G871" s="558"/>
      <c r="H871" s="559"/>
      <c r="I871" s="559"/>
      <c r="J871" s="559"/>
      <c r="K871" s="560"/>
      <c r="L871" s="560"/>
      <c r="M871" s="560"/>
    </row>
    <row r="872" spans="3:13" s="338" customFormat="1">
      <c r="C872" s="558"/>
      <c r="D872" s="559"/>
      <c r="E872" s="559"/>
      <c r="F872" s="559"/>
      <c r="G872" s="558"/>
      <c r="H872" s="559"/>
      <c r="I872" s="559"/>
      <c r="J872" s="559"/>
      <c r="K872" s="560"/>
      <c r="L872" s="560"/>
      <c r="M872" s="560"/>
    </row>
    <row r="873" spans="3:13" s="338" customFormat="1">
      <c r="C873" s="558"/>
      <c r="D873" s="559"/>
      <c r="E873" s="559"/>
      <c r="F873" s="559"/>
      <c r="G873" s="558"/>
      <c r="H873" s="559"/>
      <c r="I873" s="559"/>
      <c r="J873" s="559"/>
      <c r="K873" s="560"/>
      <c r="L873" s="560"/>
      <c r="M873" s="560"/>
    </row>
    <row r="874" spans="3:13" s="338" customFormat="1">
      <c r="C874" s="558"/>
      <c r="D874" s="559"/>
      <c r="E874" s="559"/>
      <c r="F874" s="559"/>
      <c r="G874" s="558"/>
      <c r="H874" s="559"/>
      <c r="I874" s="559"/>
      <c r="J874" s="559"/>
      <c r="K874" s="560"/>
      <c r="L874" s="560"/>
      <c r="M874" s="560"/>
    </row>
    <row r="875" spans="3:13" s="338" customFormat="1">
      <c r="C875" s="558"/>
      <c r="D875" s="559"/>
      <c r="E875" s="559"/>
      <c r="F875" s="559"/>
      <c r="G875" s="558"/>
      <c r="H875" s="559"/>
      <c r="I875" s="559"/>
      <c r="J875" s="559"/>
      <c r="K875" s="560"/>
      <c r="L875" s="560"/>
      <c r="M875" s="560"/>
    </row>
    <row r="876" spans="3:13" s="338" customFormat="1">
      <c r="C876" s="558"/>
      <c r="D876" s="559"/>
      <c r="E876" s="559"/>
      <c r="F876" s="559"/>
      <c r="G876" s="558"/>
      <c r="H876" s="559"/>
      <c r="I876" s="559"/>
      <c r="J876" s="559"/>
      <c r="K876" s="560"/>
      <c r="L876" s="560"/>
      <c r="M876" s="560"/>
    </row>
    <row r="877" spans="3:13" s="338" customFormat="1">
      <c r="C877" s="558"/>
      <c r="D877" s="559"/>
      <c r="E877" s="559"/>
      <c r="F877" s="559"/>
      <c r="G877" s="558"/>
      <c r="H877" s="559"/>
      <c r="I877" s="559"/>
      <c r="J877" s="559"/>
      <c r="K877" s="560"/>
      <c r="L877" s="560"/>
      <c r="M877" s="560"/>
    </row>
    <row r="878" spans="3:13" s="338" customFormat="1">
      <c r="C878" s="558"/>
      <c r="D878" s="559"/>
      <c r="E878" s="559"/>
      <c r="F878" s="559"/>
      <c r="G878" s="558"/>
      <c r="H878" s="559"/>
      <c r="I878" s="559"/>
      <c r="J878" s="559"/>
      <c r="K878" s="560"/>
      <c r="L878" s="560"/>
      <c r="M878" s="560"/>
    </row>
    <row r="879" spans="3:13" s="338" customFormat="1">
      <c r="C879" s="558"/>
      <c r="D879" s="559"/>
      <c r="E879" s="559"/>
      <c r="F879" s="559"/>
      <c r="G879" s="558"/>
      <c r="H879" s="559"/>
      <c r="I879" s="559"/>
      <c r="J879" s="559"/>
      <c r="K879" s="560"/>
      <c r="L879" s="560"/>
      <c r="M879" s="560"/>
    </row>
    <row r="880" spans="3:13" s="338" customFormat="1">
      <c r="C880" s="558"/>
      <c r="D880" s="559"/>
      <c r="E880" s="559"/>
      <c r="F880" s="559"/>
      <c r="G880" s="558"/>
      <c r="H880" s="559"/>
      <c r="I880" s="559"/>
      <c r="J880" s="559"/>
      <c r="K880" s="560"/>
      <c r="L880" s="560"/>
      <c r="M880" s="560"/>
    </row>
    <row r="881" spans="3:13" s="338" customFormat="1">
      <c r="C881" s="558"/>
      <c r="D881" s="559"/>
      <c r="E881" s="559"/>
      <c r="F881" s="559"/>
      <c r="G881" s="558"/>
      <c r="H881" s="559"/>
      <c r="I881" s="559"/>
      <c r="J881" s="559"/>
      <c r="K881" s="560"/>
      <c r="L881" s="560"/>
      <c r="M881" s="560"/>
    </row>
    <row r="882" spans="3:13" s="338" customFormat="1">
      <c r="C882" s="558"/>
      <c r="D882" s="559"/>
      <c r="E882" s="559"/>
      <c r="F882" s="559"/>
      <c r="G882" s="558"/>
      <c r="H882" s="559"/>
      <c r="I882" s="559"/>
      <c r="J882" s="559"/>
      <c r="K882" s="560"/>
      <c r="L882" s="560"/>
      <c r="M882" s="560"/>
    </row>
    <row r="883" spans="3:13" s="338" customFormat="1">
      <c r="C883" s="558"/>
      <c r="D883" s="559"/>
      <c r="E883" s="559"/>
      <c r="F883" s="559"/>
      <c r="G883" s="558"/>
      <c r="H883" s="559"/>
      <c r="I883" s="559"/>
      <c r="J883" s="559"/>
      <c r="K883" s="560"/>
      <c r="L883" s="560"/>
      <c r="M883" s="560"/>
    </row>
    <row r="884" spans="3:13" s="338" customFormat="1">
      <c r="C884" s="558"/>
      <c r="D884" s="559"/>
      <c r="E884" s="559"/>
      <c r="F884" s="559"/>
      <c r="G884" s="558"/>
      <c r="H884" s="559"/>
      <c r="I884" s="559"/>
      <c r="J884" s="559"/>
      <c r="K884" s="560"/>
      <c r="L884" s="560"/>
      <c r="M884" s="560"/>
    </row>
    <row r="885" spans="3:13" s="338" customFormat="1">
      <c r="C885" s="558"/>
      <c r="D885" s="559"/>
      <c r="E885" s="559"/>
      <c r="F885" s="559"/>
      <c r="G885" s="558"/>
      <c r="H885" s="559"/>
      <c r="I885" s="559"/>
      <c r="J885" s="559"/>
      <c r="K885" s="560"/>
      <c r="L885" s="560"/>
      <c r="M885" s="560"/>
    </row>
    <row r="886" spans="3:13" s="338" customFormat="1">
      <c r="C886" s="558"/>
      <c r="D886" s="559"/>
      <c r="E886" s="559"/>
      <c r="F886" s="559"/>
      <c r="G886" s="558"/>
      <c r="H886" s="559"/>
      <c r="I886" s="559"/>
      <c r="J886" s="559"/>
      <c r="K886" s="560"/>
      <c r="L886" s="560"/>
      <c r="M886" s="560"/>
    </row>
    <row r="887" spans="3:13" s="338" customFormat="1">
      <c r="C887" s="558"/>
      <c r="D887" s="559"/>
      <c r="E887" s="559"/>
      <c r="F887" s="559"/>
      <c r="G887" s="558"/>
      <c r="H887" s="559"/>
      <c r="I887" s="559"/>
      <c r="J887" s="559"/>
      <c r="K887" s="560"/>
      <c r="L887" s="560"/>
      <c r="M887" s="560"/>
    </row>
    <row r="888" spans="3:13" s="338" customFormat="1">
      <c r="C888" s="558"/>
      <c r="D888" s="559"/>
      <c r="E888" s="559"/>
      <c r="F888" s="559"/>
      <c r="G888" s="558"/>
      <c r="H888" s="559"/>
      <c r="I888" s="559"/>
      <c r="J888" s="559"/>
      <c r="K888" s="560"/>
      <c r="L888" s="560"/>
      <c r="M888" s="560"/>
    </row>
    <row r="889" spans="3:13" s="338" customFormat="1">
      <c r="C889" s="558"/>
      <c r="D889" s="559"/>
      <c r="E889" s="559"/>
      <c r="F889" s="559"/>
      <c r="G889" s="558"/>
      <c r="H889" s="559"/>
      <c r="I889" s="559"/>
      <c r="J889" s="559"/>
      <c r="K889" s="560"/>
      <c r="L889" s="560"/>
      <c r="M889" s="560"/>
    </row>
    <row r="890" spans="3:13" s="338" customFormat="1">
      <c r="C890" s="558"/>
      <c r="D890" s="559"/>
      <c r="E890" s="559"/>
      <c r="F890" s="559"/>
      <c r="G890" s="558"/>
      <c r="H890" s="559"/>
      <c r="I890" s="559"/>
      <c r="J890" s="559"/>
      <c r="K890" s="560"/>
      <c r="L890" s="560"/>
      <c r="M890" s="560"/>
    </row>
    <row r="891" spans="3:13" s="338" customFormat="1">
      <c r="C891" s="558"/>
      <c r="D891" s="559"/>
      <c r="E891" s="559"/>
      <c r="F891" s="559"/>
      <c r="G891" s="558"/>
      <c r="H891" s="559"/>
      <c r="I891" s="559"/>
      <c r="J891" s="559"/>
      <c r="K891" s="560"/>
      <c r="L891" s="560"/>
      <c r="M891" s="560"/>
    </row>
    <row r="892" spans="3:13" s="338" customFormat="1">
      <c r="C892" s="558"/>
      <c r="D892" s="559"/>
      <c r="E892" s="559"/>
      <c r="F892" s="559"/>
      <c r="G892" s="558"/>
      <c r="H892" s="559"/>
      <c r="I892" s="559"/>
      <c r="J892" s="559"/>
      <c r="K892" s="560"/>
      <c r="L892" s="560"/>
      <c r="M892" s="560"/>
    </row>
    <row r="893" spans="3:13" s="338" customFormat="1">
      <c r="C893" s="558"/>
      <c r="D893" s="559"/>
      <c r="E893" s="559"/>
      <c r="F893" s="559"/>
      <c r="G893" s="558"/>
      <c r="H893" s="559"/>
      <c r="I893" s="559"/>
      <c r="J893" s="559"/>
      <c r="K893" s="560"/>
      <c r="L893" s="560"/>
      <c r="M893" s="560"/>
    </row>
    <row r="894" spans="3:13" s="338" customFormat="1">
      <c r="C894" s="558"/>
      <c r="D894" s="559"/>
      <c r="E894" s="559"/>
      <c r="F894" s="559"/>
      <c r="G894" s="558"/>
      <c r="H894" s="559"/>
      <c r="I894" s="559"/>
      <c r="J894" s="559"/>
      <c r="K894" s="560"/>
      <c r="L894" s="560"/>
      <c r="M894" s="560"/>
    </row>
    <row r="895" spans="3:13" s="338" customFormat="1">
      <c r="C895" s="558"/>
      <c r="D895" s="559"/>
      <c r="E895" s="559"/>
      <c r="F895" s="559"/>
      <c r="G895" s="558"/>
      <c r="H895" s="559"/>
      <c r="I895" s="559"/>
      <c r="J895" s="559"/>
      <c r="K895" s="560"/>
      <c r="L895" s="560"/>
      <c r="M895" s="560"/>
    </row>
    <row r="896" spans="3:13" s="338" customFormat="1">
      <c r="C896" s="558"/>
      <c r="D896" s="559"/>
      <c r="E896" s="559"/>
      <c r="F896" s="559"/>
      <c r="G896" s="558"/>
      <c r="H896" s="559"/>
      <c r="I896" s="559"/>
      <c r="J896" s="559"/>
      <c r="K896" s="560"/>
      <c r="L896" s="560"/>
      <c r="M896" s="560"/>
    </row>
    <row r="897" spans="3:13" s="338" customFormat="1">
      <c r="C897" s="558"/>
      <c r="D897" s="559"/>
      <c r="E897" s="559"/>
      <c r="F897" s="559"/>
      <c r="G897" s="558"/>
      <c r="H897" s="559"/>
      <c r="I897" s="559"/>
      <c r="J897" s="559"/>
      <c r="K897" s="560"/>
      <c r="L897" s="560"/>
      <c r="M897" s="560"/>
    </row>
    <row r="898" spans="3:13" s="338" customFormat="1">
      <c r="C898" s="558"/>
      <c r="D898" s="559"/>
      <c r="E898" s="559"/>
      <c r="F898" s="559"/>
      <c r="G898" s="558"/>
      <c r="H898" s="559"/>
      <c r="I898" s="559"/>
      <c r="J898" s="559"/>
      <c r="K898" s="560"/>
      <c r="L898" s="560"/>
      <c r="M898" s="560"/>
    </row>
    <row r="899" spans="3:13" s="338" customFormat="1">
      <c r="C899" s="558"/>
      <c r="D899" s="559"/>
      <c r="E899" s="559"/>
      <c r="F899" s="559"/>
      <c r="G899" s="558"/>
      <c r="H899" s="559"/>
      <c r="I899" s="559"/>
      <c r="J899" s="559"/>
      <c r="K899" s="560"/>
      <c r="L899" s="560"/>
      <c r="M899" s="560"/>
    </row>
    <row r="900" spans="3:13" s="338" customFormat="1">
      <c r="C900" s="558"/>
      <c r="D900" s="559"/>
      <c r="E900" s="559"/>
      <c r="F900" s="559"/>
      <c r="G900" s="558"/>
      <c r="H900" s="559"/>
      <c r="I900" s="559"/>
      <c r="J900" s="559"/>
      <c r="K900" s="560"/>
      <c r="L900" s="560"/>
      <c r="M900" s="560"/>
    </row>
    <row r="901" spans="3:13" s="338" customFormat="1">
      <c r="C901" s="558"/>
      <c r="D901" s="559"/>
      <c r="E901" s="559"/>
      <c r="F901" s="559"/>
      <c r="G901" s="558"/>
      <c r="H901" s="559"/>
      <c r="I901" s="559"/>
      <c r="J901" s="559"/>
      <c r="K901" s="560"/>
      <c r="L901" s="560"/>
      <c r="M901" s="560"/>
    </row>
    <row r="902" spans="3:13" s="338" customFormat="1">
      <c r="C902" s="558"/>
      <c r="D902" s="559"/>
      <c r="E902" s="559"/>
      <c r="F902" s="559"/>
      <c r="G902" s="558"/>
      <c r="H902" s="559"/>
      <c r="I902" s="559"/>
      <c r="J902" s="559"/>
      <c r="K902" s="560"/>
      <c r="L902" s="560"/>
      <c r="M902" s="560"/>
    </row>
    <row r="903" spans="3:13" s="338" customFormat="1">
      <c r="C903" s="558"/>
      <c r="D903" s="559"/>
      <c r="E903" s="559"/>
      <c r="F903" s="559"/>
      <c r="G903" s="558"/>
      <c r="H903" s="559"/>
      <c r="I903" s="559"/>
      <c r="J903" s="559"/>
      <c r="K903" s="560"/>
      <c r="L903" s="560"/>
      <c r="M903" s="560"/>
    </row>
    <row r="904" spans="3:13" s="338" customFormat="1">
      <c r="C904" s="558"/>
      <c r="D904" s="559"/>
      <c r="E904" s="559"/>
      <c r="F904" s="559"/>
      <c r="G904" s="558"/>
      <c r="H904" s="559"/>
      <c r="I904" s="559"/>
      <c r="J904" s="559"/>
      <c r="K904" s="560"/>
      <c r="L904" s="560"/>
      <c r="M904" s="560"/>
    </row>
    <row r="905" spans="3:13" s="338" customFormat="1">
      <c r="C905" s="558"/>
      <c r="D905" s="559"/>
      <c r="E905" s="559"/>
      <c r="F905" s="559"/>
      <c r="G905" s="558"/>
      <c r="H905" s="559"/>
      <c r="I905" s="559"/>
      <c r="J905" s="559"/>
      <c r="K905" s="560"/>
      <c r="L905" s="560"/>
      <c r="M905" s="560"/>
    </row>
    <row r="906" spans="3:13" s="338" customFormat="1">
      <c r="C906" s="558"/>
      <c r="D906" s="559"/>
      <c r="E906" s="559"/>
      <c r="F906" s="559"/>
      <c r="G906" s="558"/>
      <c r="H906" s="559"/>
      <c r="I906" s="559"/>
      <c r="J906" s="559"/>
      <c r="K906" s="560"/>
      <c r="L906" s="560"/>
      <c r="M906" s="560"/>
    </row>
    <row r="907" spans="3:13" s="338" customFormat="1">
      <c r="C907" s="558"/>
      <c r="D907" s="559"/>
      <c r="E907" s="559"/>
      <c r="F907" s="559"/>
      <c r="G907" s="558"/>
      <c r="H907" s="559"/>
      <c r="I907" s="559"/>
      <c r="J907" s="559"/>
      <c r="K907" s="560"/>
      <c r="L907" s="560"/>
      <c r="M907" s="560"/>
    </row>
    <row r="908" spans="3:13" s="338" customFormat="1">
      <c r="C908" s="558"/>
      <c r="D908" s="559"/>
      <c r="E908" s="559"/>
      <c r="F908" s="559"/>
      <c r="G908" s="558"/>
      <c r="H908" s="559"/>
      <c r="I908" s="559"/>
      <c r="J908" s="559"/>
      <c r="K908" s="560"/>
      <c r="L908" s="560"/>
      <c r="M908" s="560"/>
    </row>
    <row r="909" spans="3:13" s="338" customFormat="1">
      <c r="C909" s="558"/>
      <c r="D909" s="559"/>
      <c r="E909" s="559"/>
      <c r="F909" s="559"/>
      <c r="G909" s="558"/>
      <c r="H909" s="559"/>
      <c r="I909" s="559"/>
      <c r="J909" s="559"/>
      <c r="K909" s="560"/>
      <c r="L909" s="560"/>
      <c r="M909" s="560"/>
    </row>
    <row r="910" spans="3:13" s="338" customFormat="1">
      <c r="C910" s="558"/>
      <c r="D910" s="559"/>
      <c r="E910" s="559"/>
      <c r="F910" s="559"/>
      <c r="G910" s="558"/>
      <c r="H910" s="559"/>
      <c r="I910" s="559"/>
      <c r="J910" s="559"/>
      <c r="K910" s="560"/>
      <c r="L910" s="560"/>
      <c r="M910" s="560"/>
    </row>
    <row r="911" spans="3:13" s="338" customFormat="1">
      <c r="C911" s="558"/>
      <c r="D911" s="559"/>
      <c r="E911" s="559"/>
      <c r="F911" s="559"/>
      <c r="G911" s="558"/>
      <c r="H911" s="559"/>
      <c r="I911" s="559"/>
      <c r="J911" s="559"/>
      <c r="K911" s="560"/>
      <c r="L911" s="560"/>
      <c r="M911" s="560"/>
    </row>
    <row r="912" spans="3:13" s="338" customFormat="1">
      <c r="C912" s="558"/>
      <c r="D912" s="559"/>
      <c r="E912" s="559"/>
      <c r="F912" s="559"/>
      <c r="G912" s="558"/>
      <c r="H912" s="559"/>
      <c r="I912" s="559"/>
      <c r="J912" s="559"/>
      <c r="K912" s="560"/>
      <c r="L912" s="560"/>
      <c r="M912" s="560"/>
    </row>
    <row r="913" spans="3:13" s="338" customFormat="1">
      <c r="C913" s="558"/>
      <c r="D913" s="559"/>
      <c r="E913" s="559"/>
      <c r="F913" s="559"/>
      <c r="G913" s="558"/>
      <c r="H913" s="559"/>
      <c r="I913" s="559"/>
      <c r="J913" s="559"/>
      <c r="K913" s="560"/>
      <c r="L913" s="560"/>
      <c r="M913" s="560"/>
    </row>
    <row r="914" spans="3:13" s="338" customFormat="1">
      <c r="C914" s="558"/>
      <c r="D914" s="559"/>
      <c r="E914" s="559"/>
      <c r="F914" s="559"/>
      <c r="G914" s="558"/>
      <c r="H914" s="559"/>
      <c r="I914" s="559"/>
      <c r="J914" s="559"/>
      <c r="K914" s="560"/>
      <c r="L914" s="560"/>
      <c r="M914" s="560"/>
    </row>
    <row r="915" spans="3:13" s="338" customFormat="1">
      <c r="C915" s="558"/>
      <c r="D915" s="559"/>
      <c r="E915" s="559"/>
      <c r="F915" s="559"/>
      <c r="G915" s="558"/>
      <c r="H915" s="559"/>
      <c r="I915" s="559"/>
      <c r="J915" s="559"/>
      <c r="K915" s="560"/>
      <c r="L915" s="560"/>
      <c r="M915" s="560"/>
    </row>
    <row r="916" spans="3:13" s="338" customFormat="1">
      <c r="C916" s="558"/>
      <c r="D916" s="559"/>
      <c r="E916" s="559"/>
      <c r="F916" s="559"/>
      <c r="G916" s="558"/>
      <c r="H916" s="559"/>
      <c r="I916" s="559"/>
      <c r="J916" s="559"/>
      <c r="K916" s="560"/>
      <c r="L916" s="560"/>
      <c r="M916" s="560"/>
    </row>
    <row r="917" spans="3:13" s="338" customFormat="1">
      <c r="C917" s="558"/>
      <c r="D917" s="559"/>
      <c r="E917" s="559"/>
      <c r="F917" s="559"/>
      <c r="G917" s="558"/>
      <c r="H917" s="559"/>
      <c r="I917" s="559"/>
      <c r="J917" s="559"/>
      <c r="K917" s="560"/>
      <c r="L917" s="560"/>
      <c r="M917" s="560"/>
    </row>
    <row r="918" spans="3:13" s="338" customFormat="1">
      <c r="C918" s="558"/>
      <c r="D918" s="559"/>
      <c r="E918" s="559"/>
      <c r="F918" s="559"/>
      <c r="G918" s="558"/>
      <c r="H918" s="559"/>
      <c r="I918" s="559"/>
      <c r="J918" s="559"/>
      <c r="K918" s="560"/>
      <c r="L918" s="560"/>
      <c r="M918" s="560"/>
    </row>
    <row r="919" spans="3:13" s="338" customFormat="1">
      <c r="C919" s="558"/>
      <c r="D919" s="559"/>
      <c r="E919" s="559"/>
      <c r="F919" s="559"/>
      <c r="G919" s="558"/>
      <c r="H919" s="559"/>
      <c r="I919" s="559"/>
      <c r="J919" s="559"/>
      <c r="K919" s="560"/>
      <c r="L919" s="560"/>
      <c r="M919" s="560"/>
    </row>
    <row r="920" spans="3:13" s="338" customFormat="1">
      <c r="C920" s="558"/>
      <c r="D920" s="559"/>
      <c r="E920" s="559"/>
      <c r="F920" s="559"/>
      <c r="G920" s="558"/>
      <c r="H920" s="559"/>
      <c r="I920" s="559"/>
      <c r="J920" s="559"/>
      <c r="K920" s="560"/>
      <c r="L920" s="560"/>
      <c r="M920" s="560"/>
    </row>
    <row r="921" spans="3:13" s="338" customFormat="1">
      <c r="C921" s="558"/>
      <c r="D921" s="559"/>
      <c r="E921" s="559"/>
      <c r="F921" s="559"/>
      <c r="G921" s="558"/>
      <c r="H921" s="559"/>
      <c r="I921" s="559"/>
      <c r="J921" s="559"/>
      <c r="K921" s="560"/>
      <c r="L921" s="560"/>
      <c r="M921" s="560"/>
    </row>
    <row r="922" spans="3:13" s="338" customFormat="1">
      <c r="C922" s="558"/>
      <c r="D922" s="559"/>
      <c r="E922" s="559"/>
      <c r="F922" s="559"/>
      <c r="G922" s="558"/>
      <c r="H922" s="559"/>
      <c r="I922" s="559"/>
      <c r="J922" s="559"/>
      <c r="K922" s="560"/>
      <c r="L922" s="560"/>
      <c r="M922" s="560"/>
    </row>
    <row r="923" spans="3:13" s="338" customFormat="1">
      <c r="C923" s="558"/>
      <c r="D923" s="559"/>
      <c r="E923" s="559"/>
      <c r="F923" s="559"/>
      <c r="G923" s="558"/>
      <c r="H923" s="559"/>
      <c r="I923" s="559"/>
      <c r="J923" s="559"/>
      <c r="K923" s="560"/>
      <c r="L923" s="560"/>
      <c r="M923" s="560"/>
    </row>
    <row r="924" spans="3:13" s="338" customFormat="1">
      <c r="C924" s="558"/>
      <c r="D924" s="559"/>
      <c r="E924" s="559"/>
      <c r="F924" s="559"/>
      <c r="G924" s="558"/>
      <c r="H924" s="559"/>
      <c r="I924" s="559"/>
      <c r="J924" s="559"/>
      <c r="K924" s="560"/>
      <c r="L924" s="560"/>
      <c r="M924" s="560"/>
    </row>
    <row r="925" spans="3:13" s="338" customFormat="1">
      <c r="C925" s="558"/>
      <c r="D925" s="559"/>
      <c r="E925" s="559"/>
      <c r="F925" s="559"/>
      <c r="G925" s="558"/>
      <c r="H925" s="559"/>
      <c r="I925" s="559"/>
      <c r="J925" s="559"/>
      <c r="K925" s="560"/>
      <c r="L925" s="560"/>
      <c r="M925" s="560"/>
    </row>
    <row r="926" spans="3:13" s="338" customFormat="1">
      <c r="C926" s="558"/>
      <c r="D926" s="559"/>
      <c r="E926" s="559"/>
      <c r="F926" s="559"/>
      <c r="G926" s="558"/>
      <c r="H926" s="559"/>
      <c r="I926" s="559"/>
      <c r="J926" s="559"/>
      <c r="K926" s="560"/>
      <c r="L926" s="560"/>
      <c r="M926" s="560"/>
    </row>
    <row r="927" spans="3:13" s="338" customFormat="1">
      <c r="C927" s="558"/>
      <c r="D927" s="559"/>
      <c r="E927" s="559"/>
      <c r="F927" s="559"/>
      <c r="G927" s="558"/>
      <c r="H927" s="559"/>
      <c r="I927" s="559"/>
      <c r="J927" s="559"/>
      <c r="K927" s="560"/>
      <c r="L927" s="560"/>
      <c r="M927" s="560"/>
    </row>
    <row r="928" spans="3:13" s="338" customFormat="1">
      <c r="C928" s="558"/>
      <c r="D928" s="559"/>
      <c r="E928" s="559"/>
      <c r="F928" s="559"/>
      <c r="G928" s="558"/>
      <c r="H928" s="559"/>
      <c r="I928" s="559"/>
      <c r="J928" s="559"/>
      <c r="K928" s="560"/>
      <c r="L928" s="560"/>
      <c r="M928" s="560"/>
    </row>
    <row r="929" spans="3:13" s="338" customFormat="1">
      <c r="C929" s="558"/>
      <c r="D929" s="559"/>
      <c r="E929" s="559"/>
      <c r="F929" s="559"/>
      <c r="G929" s="558"/>
      <c r="H929" s="559"/>
      <c r="I929" s="559"/>
      <c r="J929" s="559"/>
      <c r="K929" s="560"/>
      <c r="L929" s="560"/>
      <c r="M929" s="560"/>
    </row>
    <row r="930" spans="3:13" s="338" customFormat="1">
      <c r="C930" s="558"/>
      <c r="D930" s="559"/>
      <c r="E930" s="559"/>
      <c r="F930" s="559"/>
      <c r="G930" s="558"/>
      <c r="H930" s="559"/>
      <c r="I930" s="559"/>
      <c r="J930" s="559"/>
      <c r="K930" s="560"/>
      <c r="L930" s="560"/>
      <c r="M930" s="560"/>
    </row>
    <row r="931" spans="3:13" s="338" customFormat="1">
      <c r="C931" s="558"/>
      <c r="D931" s="559"/>
      <c r="E931" s="559"/>
      <c r="F931" s="559"/>
      <c r="G931" s="558"/>
      <c r="H931" s="559"/>
      <c r="I931" s="559"/>
      <c r="J931" s="559"/>
      <c r="K931" s="560"/>
      <c r="L931" s="560"/>
      <c r="M931" s="560"/>
    </row>
    <row r="932" spans="3:13" s="338" customFormat="1">
      <c r="C932" s="558"/>
      <c r="D932" s="559"/>
      <c r="E932" s="559"/>
      <c r="F932" s="559"/>
      <c r="G932" s="558"/>
      <c r="H932" s="559"/>
      <c r="I932" s="559"/>
      <c r="J932" s="559"/>
      <c r="K932" s="560"/>
      <c r="L932" s="560"/>
      <c r="M932" s="560"/>
    </row>
    <row r="933" spans="3:13" s="338" customFormat="1">
      <c r="C933" s="558"/>
      <c r="D933" s="559"/>
      <c r="E933" s="559"/>
      <c r="F933" s="559"/>
      <c r="G933" s="558"/>
      <c r="H933" s="559"/>
      <c r="I933" s="559"/>
      <c r="J933" s="559"/>
      <c r="K933" s="560"/>
      <c r="L933" s="560"/>
      <c r="M933" s="560"/>
    </row>
    <row r="934" spans="3:13" s="338" customFormat="1">
      <c r="C934" s="558"/>
      <c r="D934" s="559"/>
      <c r="E934" s="559"/>
      <c r="F934" s="559"/>
      <c r="G934" s="558"/>
      <c r="H934" s="559"/>
      <c r="I934" s="559"/>
      <c r="J934" s="559"/>
      <c r="K934" s="560"/>
      <c r="L934" s="560"/>
      <c r="M934" s="560"/>
    </row>
    <row r="935" spans="3:13" s="338" customFormat="1">
      <c r="C935" s="558"/>
      <c r="D935" s="559"/>
      <c r="E935" s="559"/>
      <c r="F935" s="559"/>
      <c r="G935" s="558"/>
      <c r="H935" s="559"/>
      <c r="I935" s="559"/>
      <c r="J935" s="559"/>
      <c r="K935" s="560"/>
      <c r="L935" s="560"/>
      <c r="M935" s="560"/>
    </row>
    <row r="936" spans="3:13" s="338" customFormat="1">
      <c r="C936" s="558"/>
      <c r="D936" s="559"/>
      <c r="E936" s="559"/>
      <c r="F936" s="559"/>
      <c r="G936" s="558"/>
      <c r="H936" s="559"/>
      <c r="I936" s="559"/>
      <c r="J936" s="559"/>
      <c r="K936" s="560"/>
      <c r="L936" s="560"/>
      <c r="M936" s="560"/>
    </row>
    <row r="937" spans="3:13" s="338" customFormat="1">
      <c r="C937" s="558"/>
      <c r="D937" s="559"/>
      <c r="E937" s="559"/>
      <c r="F937" s="559"/>
      <c r="G937" s="558"/>
      <c r="H937" s="559"/>
      <c r="I937" s="559"/>
      <c r="J937" s="559"/>
      <c r="K937" s="560"/>
      <c r="L937" s="560"/>
      <c r="M937" s="560"/>
    </row>
    <row r="938" spans="3:13" s="338" customFormat="1">
      <c r="C938" s="558"/>
      <c r="D938" s="559"/>
      <c r="E938" s="559"/>
      <c r="F938" s="559"/>
      <c r="G938" s="558"/>
      <c r="H938" s="559"/>
      <c r="I938" s="559"/>
      <c r="J938" s="559"/>
      <c r="K938" s="560"/>
      <c r="L938" s="560"/>
      <c r="M938" s="560"/>
    </row>
    <row r="939" spans="3:13" s="338" customFormat="1">
      <c r="C939" s="558"/>
      <c r="D939" s="559"/>
      <c r="E939" s="559"/>
      <c r="F939" s="559"/>
      <c r="G939" s="558"/>
      <c r="H939" s="559"/>
      <c r="I939" s="559"/>
      <c r="J939" s="559"/>
      <c r="K939" s="560"/>
      <c r="L939" s="560"/>
      <c r="M939" s="560"/>
    </row>
    <row r="940" spans="3:13" s="338" customFormat="1">
      <c r="C940" s="558"/>
      <c r="D940" s="559"/>
      <c r="E940" s="559"/>
      <c r="F940" s="559"/>
      <c r="G940" s="558"/>
      <c r="H940" s="559"/>
      <c r="I940" s="559"/>
      <c r="J940" s="559"/>
      <c r="K940" s="560"/>
      <c r="L940" s="560"/>
      <c r="M940" s="560"/>
    </row>
    <row r="941" spans="3:13" s="338" customFormat="1">
      <c r="C941" s="558"/>
      <c r="D941" s="559"/>
      <c r="E941" s="559"/>
      <c r="F941" s="559"/>
      <c r="G941" s="558"/>
      <c r="H941" s="559"/>
      <c r="I941" s="559"/>
      <c r="J941" s="559"/>
      <c r="K941" s="560"/>
      <c r="L941" s="560"/>
      <c r="M941" s="560"/>
    </row>
    <row r="942" spans="3:13" s="338" customFormat="1">
      <c r="C942" s="558"/>
      <c r="D942" s="559"/>
      <c r="E942" s="559"/>
      <c r="F942" s="559"/>
      <c r="G942" s="558"/>
      <c r="H942" s="559"/>
      <c r="I942" s="559"/>
      <c r="J942" s="559"/>
      <c r="K942" s="560"/>
      <c r="L942" s="560"/>
      <c r="M942" s="560"/>
    </row>
    <row r="943" spans="3:13" s="338" customFormat="1">
      <c r="C943" s="558"/>
      <c r="D943" s="559"/>
      <c r="E943" s="559"/>
      <c r="F943" s="559"/>
      <c r="G943" s="558"/>
      <c r="H943" s="559"/>
      <c r="I943" s="559"/>
      <c r="J943" s="559"/>
      <c r="K943" s="560"/>
      <c r="L943" s="560"/>
      <c r="M943" s="560"/>
    </row>
    <row r="944" spans="3:13" s="338" customFormat="1">
      <c r="C944" s="558"/>
      <c r="D944" s="559"/>
      <c r="E944" s="559"/>
      <c r="F944" s="559"/>
      <c r="G944" s="558"/>
      <c r="H944" s="559"/>
      <c r="I944" s="559"/>
      <c r="J944" s="559"/>
      <c r="K944" s="560"/>
      <c r="L944" s="560"/>
      <c r="M944" s="560"/>
    </row>
    <row r="945" spans="3:13" s="338" customFormat="1">
      <c r="C945" s="558"/>
      <c r="D945" s="559"/>
      <c r="E945" s="559"/>
      <c r="F945" s="559"/>
      <c r="G945" s="558"/>
      <c r="H945" s="559"/>
      <c r="I945" s="559"/>
      <c r="J945" s="559"/>
      <c r="K945" s="560"/>
      <c r="L945" s="560"/>
      <c r="M945" s="560"/>
    </row>
    <row r="946" spans="3:13" s="338" customFormat="1">
      <c r="C946" s="558"/>
      <c r="D946" s="559"/>
      <c r="E946" s="559"/>
      <c r="F946" s="559"/>
      <c r="G946" s="558"/>
      <c r="H946" s="559"/>
      <c r="I946" s="559"/>
      <c r="J946" s="559"/>
      <c r="K946" s="560"/>
      <c r="L946" s="560"/>
      <c r="M946" s="560"/>
    </row>
    <row r="947" spans="3:13" s="338" customFormat="1">
      <c r="C947" s="558"/>
      <c r="D947" s="559"/>
      <c r="E947" s="559"/>
      <c r="F947" s="559"/>
      <c r="G947" s="558"/>
      <c r="H947" s="559"/>
      <c r="I947" s="559"/>
      <c r="J947" s="559"/>
      <c r="K947" s="560"/>
      <c r="L947" s="560"/>
      <c r="M947" s="560"/>
    </row>
    <row r="948" spans="3:13" s="338" customFormat="1">
      <c r="C948" s="558"/>
      <c r="D948" s="559"/>
      <c r="E948" s="559"/>
      <c r="F948" s="559"/>
      <c r="G948" s="558"/>
      <c r="H948" s="559"/>
      <c r="I948" s="559"/>
      <c r="J948" s="559"/>
      <c r="K948" s="560"/>
      <c r="L948" s="560"/>
      <c r="M948" s="560"/>
    </row>
    <row r="949" spans="3:13" s="338" customFormat="1">
      <c r="C949" s="558"/>
      <c r="D949" s="559"/>
      <c r="E949" s="559"/>
      <c r="F949" s="559"/>
      <c r="G949" s="558"/>
      <c r="H949" s="559"/>
      <c r="I949" s="559"/>
      <c r="J949" s="559"/>
      <c r="K949" s="560"/>
      <c r="L949" s="560"/>
      <c r="M949" s="560"/>
    </row>
    <row r="950" spans="3:13" s="338" customFormat="1">
      <c r="C950" s="558"/>
      <c r="D950" s="559"/>
      <c r="E950" s="559"/>
      <c r="F950" s="559"/>
      <c r="G950" s="558"/>
      <c r="H950" s="559"/>
      <c r="I950" s="559"/>
      <c r="J950" s="559"/>
      <c r="K950" s="560"/>
      <c r="L950" s="560"/>
      <c r="M950" s="560"/>
    </row>
    <row r="951" spans="3:13" s="338" customFormat="1">
      <c r="C951" s="558"/>
      <c r="D951" s="559"/>
      <c r="E951" s="559"/>
      <c r="F951" s="559"/>
      <c r="G951" s="558"/>
      <c r="H951" s="559"/>
      <c r="I951" s="559"/>
      <c r="J951" s="559"/>
      <c r="K951" s="560"/>
      <c r="L951" s="560"/>
      <c r="M951" s="560"/>
    </row>
    <row r="952" spans="3:13" s="338" customFormat="1">
      <c r="C952" s="558"/>
      <c r="D952" s="559"/>
      <c r="E952" s="559"/>
      <c r="F952" s="559"/>
      <c r="G952" s="558"/>
      <c r="H952" s="559"/>
      <c r="I952" s="559"/>
      <c r="J952" s="559"/>
      <c r="K952" s="560"/>
      <c r="L952" s="560"/>
      <c r="M952" s="560"/>
    </row>
    <row r="953" spans="3:13" s="338" customFormat="1">
      <c r="C953" s="558"/>
      <c r="D953" s="559"/>
      <c r="E953" s="559"/>
      <c r="F953" s="559"/>
      <c r="G953" s="558"/>
      <c r="H953" s="559"/>
      <c r="I953" s="559"/>
      <c r="J953" s="559"/>
      <c r="K953" s="560"/>
      <c r="L953" s="560"/>
      <c r="M953" s="560"/>
    </row>
    <row r="954" spans="3:13" s="338" customFormat="1">
      <c r="C954" s="558"/>
      <c r="D954" s="559"/>
      <c r="E954" s="559"/>
      <c r="F954" s="559"/>
      <c r="G954" s="558"/>
      <c r="H954" s="559"/>
      <c r="I954" s="559"/>
      <c r="J954" s="559"/>
      <c r="K954" s="560"/>
      <c r="L954" s="560"/>
      <c r="M954" s="560"/>
    </row>
    <row r="955" spans="3:13" s="338" customFormat="1">
      <c r="C955" s="558"/>
      <c r="D955" s="559"/>
      <c r="E955" s="559"/>
      <c r="F955" s="559"/>
      <c r="G955" s="558"/>
      <c r="H955" s="559"/>
      <c r="I955" s="559"/>
      <c r="J955" s="559"/>
      <c r="K955" s="560"/>
      <c r="L955" s="560"/>
      <c r="M955" s="560"/>
    </row>
    <row r="956" spans="3:13" s="338" customFormat="1">
      <c r="C956" s="558"/>
      <c r="D956" s="559"/>
      <c r="E956" s="559"/>
      <c r="F956" s="559"/>
      <c r="G956" s="558"/>
      <c r="H956" s="559"/>
      <c r="I956" s="559"/>
      <c r="J956" s="559"/>
      <c r="K956" s="560"/>
      <c r="L956" s="560"/>
      <c r="M956" s="560"/>
    </row>
    <row r="957" spans="3:13" s="338" customFormat="1">
      <c r="C957" s="558"/>
      <c r="D957" s="559"/>
      <c r="E957" s="559"/>
      <c r="F957" s="559"/>
      <c r="G957" s="558"/>
      <c r="H957" s="559"/>
      <c r="I957" s="559"/>
      <c r="J957" s="559"/>
      <c r="K957" s="560"/>
      <c r="L957" s="560"/>
      <c r="M957" s="560"/>
    </row>
    <row r="958" spans="3:13" s="338" customFormat="1">
      <c r="C958" s="558"/>
      <c r="D958" s="559"/>
      <c r="E958" s="559"/>
      <c r="F958" s="559"/>
      <c r="G958" s="558"/>
      <c r="H958" s="559"/>
      <c r="I958" s="559"/>
      <c r="J958" s="559"/>
      <c r="K958" s="560"/>
      <c r="L958" s="560"/>
      <c r="M958" s="560"/>
    </row>
    <row r="959" spans="3:13" s="338" customFormat="1">
      <c r="C959" s="558"/>
      <c r="D959" s="559"/>
      <c r="E959" s="559"/>
      <c r="F959" s="559"/>
      <c r="G959" s="558"/>
      <c r="H959" s="559"/>
      <c r="I959" s="559"/>
      <c r="J959" s="559"/>
      <c r="K959" s="560"/>
      <c r="L959" s="560"/>
      <c r="M959" s="560"/>
    </row>
    <row r="960" spans="3:13" s="338" customFormat="1">
      <c r="C960" s="558"/>
      <c r="D960" s="559"/>
      <c r="E960" s="559"/>
      <c r="F960" s="559"/>
      <c r="G960" s="558"/>
      <c r="H960" s="559"/>
      <c r="I960" s="559"/>
      <c r="J960" s="559"/>
      <c r="K960" s="560"/>
      <c r="L960" s="560"/>
      <c r="M960" s="560"/>
    </row>
    <row r="961" spans="3:13" s="338" customFormat="1">
      <c r="C961" s="558"/>
      <c r="D961" s="559"/>
      <c r="E961" s="559"/>
      <c r="F961" s="559"/>
      <c r="G961" s="558"/>
      <c r="H961" s="559"/>
      <c r="I961" s="559"/>
      <c r="J961" s="559"/>
      <c r="K961" s="560"/>
      <c r="L961" s="560"/>
      <c r="M961" s="560"/>
    </row>
    <row r="962" spans="3:13" s="338" customFormat="1">
      <c r="C962" s="558"/>
      <c r="D962" s="559"/>
      <c r="E962" s="559"/>
      <c r="F962" s="559"/>
      <c r="G962" s="558"/>
      <c r="H962" s="559"/>
      <c r="I962" s="559"/>
      <c r="J962" s="559"/>
      <c r="K962" s="560"/>
      <c r="L962" s="560"/>
      <c r="M962" s="560"/>
    </row>
    <row r="963" spans="3:13" s="338" customFormat="1">
      <c r="C963" s="558"/>
      <c r="D963" s="559"/>
      <c r="E963" s="559"/>
      <c r="F963" s="559"/>
      <c r="G963" s="558"/>
      <c r="H963" s="559"/>
      <c r="I963" s="559"/>
      <c r="J963" s="559"/>
      <c r="K963" s="560"/>
      <c r="L963" s="560"/>
      <c r="M963" s="560"/>
    </row>
    <row r="964" spans="3:13" s="338" customFormat="1">
      <c r="C964" s="558"/>
      <c r="D964" s="559"/>
      <c r="E964" s="559"/>
      <c r="F964" s="559"/>
      <c r="G964" s="558"/>
      <c r="H964" s="559"/>
      <c r="I964" s="559"/>
      <c r="J964" s="559"/>
      <c r="K964" s="560"/>
      <c r="L964" s="560"/>
      <c r="M964" s="560"/>
    </row>
    <row r="965" spans="3:13" s="338" customFormat="1">
      <c r="C965" s="558"/>
      <c r="D965" s="559"/>
      <c r="E965" s="559"/>
      <c r="F965" s="559"/>
      <c r="G965" s="558"/>
      <c r="H965" s="559"/>
      <c r="I965" s="559"/>
      <c r="J965" s="559"/>
      <c r="K965" s="560"/>
      <c r="L965" s="560"/>
      <c r="M965" s="560"/>
    </row>
    <row r="966" spans="3:13" s="338" customFormat="1">
      <c r="C966" s="558"/>
      <c r="D966" s="559"/>
      <c r="E966" s="559"/>
      <c r="F966" s="559"/>
      <c r="G966" s="558"/>
      <c r="H966" s="559"/>
      <c r="I966" s="559"/>
      <c r="J966" s="559"/>
      <c r="K966" s="560"/>
      <c r="L966" s="560"/>
      <c r="M966" s="560"/>
    </row>
    <row r="967" spans="3:13" s="338" customFormat="1">
      <c r="C967" s="558"/>
      <c r="D967" s="559"/>
      <c r="E967" s="559"/>
      <c r="F967" s="559"/>
      <c r="G967" s="558"/>
      <c r="H967" s="559"/>
      <c r="I967" s="559"/>
      <c r="J967" s="559"/>
      <c r="K967" s="560"/>
      <c r="L967" s="560"/>
      <c r="M967" s="560"/>
    </row>
    <row r="968" spans="3:13" s="338" customFormat="1">
      <c r="C968" s="558"/>
      <c r="D968" s="559"/>
      <c r="E968" s="559"/>
      <c r="F968" s="559"/>
      <c r="G968" s="558"/>
      <c r="H968" s="559"/>
      <c r="I968" s="559"/>
      <c r="J968" s="559"/>
      <c r="K968" s="560"/>
      <c r="L968" s="560"/>
      <c r="M968" s="560"/>
    </row>
    <row r="969" spans="3:13" s="338" customFormat="1">
      <c r="C969" s="558"/>
      <c r="D969" s="559"/>
      <c r="E969" s="559"/>
      <c r="F969" s="559"/>
      <c r="G969" s="558"/>
      <c r="H969" s="559"/>
      <c r="I969" s="559"/>
      <c r="J969" s="559"/>
      <c r="K969" s="560"/>
      <c r="L969" s="560"/>
      <c r="M969" s="560"/>
    </row>
    <row r="970" spans="3:13" s="338" customFormat="1">
      <c r="C970" s="558"/>
      <c r="D970" s="559"/>
      <c r="E970" s="559"/>
      <c r="F970" s="559"/>
      <c r="G970" s="558"/>
      <c r="H970" s="559"/>
      <c r="I970" s="559"/>
      <c r="J970" s="559"/>
      <c r="K970" s="560"/>
      <c r="L970" s="560"/>
      <c r="M970" s="560"/>
    </row>
    <row r="971" spans="3:13" s="338" customFormat="1">
      <c r="C971" s="558"/>
      <c r="D971" s="559"/>
      <c r="E971" s="559"/>
      <c r="F971" s="559"/>
      <c r="G971" s="558"/>
      <c r="H971" s="559"/>
      <c r="I971" s="559"/>
      <c r="J971" s="559"/>
      <c r="K971" s="560"/>
      <c r="L971" s="560"/>
      <c r="M971" s="560"/>
    </row>
    <row r="972" spans="3:13" s="338" customFormat="1">
      <c r="C972" s="558"/>
      <c r="D972" s="559"/>
      <c r="E972" s="559"/>
      <c r="F972" s="559"/>
      <c r="G972" s="558"/>
      <c r="H972" s="559"/>
      <c r="I972" s="559"/>
      <c r="J972" s="559"/>
      <c r="K972" s="560"/>
      <c r="L972" s="560"/>
      <c r="M972" s="560"/>
    </row>
    <row r="973" spans="3:13" s="338" customFormat="1">
      <c r="C973" s="558"/>
      <c r="D973" s="559"/>
      <c r="E973" s="559"/>
      <c r="F973" s="559"/>
      <c r="G973" s="558"/>
      <c r="H973" s="559"/>
      <c r="I973" s="559"/>
      <c r="J973" s="559"/>
      <c r="K973" s="560"/>
      <c r="L973" s="560"/>
      <c r="M973" s="560"/>
    </row>
    <row r="974" spans="3:13" s="338" customFormat="1">
      <c r="C974" s="558"/>
      <c r="D974" s="559"/>
      <c r="E974" s="559"/>
      <c r="F974" s="559"/>
      <c r="G974" s="558"/>
      <c r="H974" s="559"/>
      <c r="I974" s="559"/>
      <c r="J974" s="559"/>
      <c r="K974" s="560"/>
      <c r="L974" s="560"/>
      <c r="M974" s="560"/>
    </row>
    <row r="975" spans="3:13" s="338" customFormat="1">
      <c r="C975" s="558"/>
      <c r="D975" s="559"/>
      <c r="E975" s="559"/>
      <c r="F975" s="559"/>
      <c r="G975" s="558"/>
      <c r="H975" s="559"/>
      <c r="I975" s="559"/>
      <c r="J975" s="559"/>
      <c r="K975" s="560"/>
      <c r="L975" s="560"/>
      <c r="M975" s="560"/>
    </row>
    <row r="976" spans="3:13" s="338" customFormat="1">
      <c r="C976" s="558"/>
      <c r="D976" s="559"/>
      <c r="E976" s="559"/>
      <c r="F976" s="559"/>
      <c r="G976" s="558"/>
      <c r="H976" s="559"/>
      <c r="I976" s="559"/>
      <c r="J976" s="559"/>
      <c r="K976" s="560"/>
      <c r="L976" s="560"/>
      <c r="M976" s="560"/>
    </row>
    <row r="977" spans="3:13" s="338" customFormat="1">
      <c r="C977" s="558"/>
      <c r="D977" s="559"/>
      <c r="E977" s="559"/>
      <c r="F977" s="559"/>
      <c r="G977" s="558"/>
      <c r="H977" s="559"/>
      <c r="I977" s="559"/>
      <c r="J977" s="559"/>
      <c r="K977" s="560"/>
      <c r="L977" s="560"/>
      <c r="M977" s="560"/>
    </row>
    <row r="978" spans="3:13" s="338" customFormat="1">
      <c r="C978" s="558"/>
      <c r="D978" s="559"/>
      <c r="E978" s="559"/>
      <c r="F978" s="559"/>
      <c r="G978" s="558"/>
      <c r="H978" s="559"/>
      <c r="I978" s="559"/>
      <c r="J978" s="559"/>
      <c r="K978" s="560"/>
      <c r="L978" s="560"/>
      <c r="M978" s="560"/>
    </row>
    <row r="979" spans="3:13" s="338" customFormat="1">
      <c r="C979" s="558"/>
      <c r="D979" s="559"/>
      <c r="E979" s="559"/>
      <c r="F979" s="559"/>
      <c r="G979" s="558"/>
      <c r="H979" s="559"/>
      <c r="I979" s="559"/>
      <c r="J979" s="559"/>
      <c r="K979" s="560"/>
      <c r="L979" s="560"/>
      <c r="M979" s="560"/>
    </row>
    <row r="980" spans="3:13" s="338" customFormat="1">
      <c r="C980" s="558"/>
      <c r="D980" s="559"/>
      <c r="E980" s="559"/>
      <c r="F980" s="559"/>
      <c r="G980" s="558"/>
      <c r="H980" s="559"/>
      <c r="I980" s="559"/>
      <c r="J980" s="559"/>
      <c r="K980" s="560"/>
      <c r="L980" s="560"/>
      <c r="M980" s="560"/>
    </row>
    <row r="981" spans="3:13" s="338" customFormat="1">
      <c r="C981" s="558"/>
      <c r="D981" s="559"/>
      <c r="E981" s="559"/>
      <c r="F981" s="559"/>
      <c r="G981" s="558"/>
      <c r="H981" s="559"/>
      <c r="I981" s="559"/>
      <c r="J981" s="559"/>
      <c r="K981" s="560"/>
      <c r="L981" s="560"/>
      <c r="M981" s="560"/>
    </row>
    <row r="982" spans="3:13" s="338" customFormat="1">
      <c r="C982" s="558"/>
      <c r="D982" s="559"/>
      <c r="E982" s="559"/>
      <c r="F982" s="559"/>
      <c r="G982" s="558"/>
      <c r="H982" s="559"/>
      <c r="I982" s="559"/>
      <c r="J982" s="559"/>
      <c r="K982" s="560"/>
      <c r="L982" s="560"/>
      <c r="M982" s="560"/>
    </row>
    <row r="983" spans="3:13" s="338" customFormat="1">
      <c r="C983" s="558"/>
      <c r="D983" s="559"/>
      <c r="E983" s="559"/>
      <c r="F983" s="559"/>
      <c r="G983" s="558"/>
      <c r="H983" s="559"/>
      <c r="I983" s="559"/>
      <c r="J983" s="559"/>
      <c r="K983" s="560"/>
      <c r="L983" s="560"/>
      <c r="M983" s="560"/>
    </row>
    <row r="984" spans="3:13" s="338" customFormat="1">
      <c r="C984" s="558"/>
      <c r="D984" s="559"/>
      <c r="E984" s="559"/>
      <c r="F984" s="559"/>
      <c r="G984" s="558"/>
      <c r="H984" s="559"/>
      <c r="I984" s="559"/>
      <c r="J984" s="559"/>
      <c r="K984" s="560"/>
      <c r="L984" s="560"/>
      <c r="M984" s="560"/>
    </row>
    <row r="985" spans="3:13" s="338" customFormat="1">
      <c r="C985" s="558"/>
      <c r="D985" s="559"/>
      <c r="E985" s="559"/>
      <c r="F985" s="559"/>
      <c r="G985" s="558"/>
      <c r="H985" s="559"/>
      <c r="I985" s="559"/>
      <c r="J985" s="559"/>
      <c r="K985" s="560"/>
      <c r="L985" s="560"/>
      <c r="M985" s="560"/>
    </row>
    <row r="986" spans="3:13" s="338" customFormat="1">
      <c r="C986" s="558"/>
      <c r="D986" s="559"/>
      <c r="E986" s="559"/>
      <c r="F986" s="559"/>
      <c r="G986" s="558"/>
      <c r="H986" s="559"/>
      <c r="I986" s="559"/>
      <c r="J986" s="559"/>
      <c r="K986" s="560"/>
      <c r="L986" s="560"/>
      <c r="M986" s="560"/>
    </row>
    <row r="987" spans="3:13" s="338" customFormat="1">
      <c r="C987" s="558"/>
      <c r="D987" s="559"/>
      <c r="E987" s="559"/>
      <c r="F987" s="559"/>
      <c r="G987" s="558"/>
      <c r="H987" s="559"/>
      <c r="I987" s="559"/>
      <c r="J987" s="559"/>
      <c r="K987" s="560"/>
      <c r="L987" s="560"/>
      <c r="M987" s="560"/>
    </row>
    <row r="988" spans="3:13" s="338" customFormat="1">
      <c r="C988" s="558"/>
      <c r="D988" s="559"/>
      <c r="E988" s="559"/>
      <c r="F988" s="559"/>
      <c r="G988" s="558"/>
      <c r="H988" s="559"/>
      <c r="I988" s="559"/>
      <c r="J988" s="559"/>
      <c r="K988" s="560"/>
      <c r="L988" s="560"/>
      <c r="M988" s="560"/>
    </row>
    <row r="989" spans="3:13" s="338" customFormat="1">
      <c r="C989" s="558"/>
      <c r="D989" s="559"/>
      <c r="E989" s="559"/>
      <c r="F989" s="559"/>
      <c r="G989" s="558"/>
      <c r="H989" s="559"/>
      <c r="I989" s="559"/>
      <c r="J989" s="559"/>
      <c r="K989" s="560"/>
      <c r="L989" s="560"/>
      <c r="M989" s="560"/>
    </row>
    <row r="990" spans="3:13" s="338" customFormat="1">
      <c r="C990" s="558"/>
      <c r="D990" s="559"/>
      <c r="E990" s="559"/>
      <c r="F990" s="559"/>
      <c r="G990" s="558"/>
      <c r="H990" s="559"/>
      <c r="I990" s="559"/>
      <c r="J990" s="559"/>
      <c r="K990" s="560"/>
      <c r="L990" s="560"/>
      <c r="M990" s="560"/>
    </row>
    <row r="991" spans="3:13" s="338" customFormat="1">
      <c r="C991" s="558"/>
      <c r="D991" s="559"/>
      <c r="E991" s="559"/>
      <c r="F991" s="559"/>
      <c r="G991" s="558"/>
      <c r="H991" s="559"/>
      <c r="I991" s="559"/>
      <c r="J991" s="559"/>
      <c r="K991" s="560"/>
      <c r="L991" s="560"/>
      <c r="M991" s="560"/>
    </row>
    <row r="992" spans="3:13" s="338" customFormat="1">
      <c r="C992" s="558"/>
      <c r="D992" s="559"/>
      <c r="E992" s="559"/>
      <c r="F992" s="559"/>
      <c r="G992" s="558"/>
      <c r="H992" s="559"/>
      <c r="I992" s="559"/>
      <c r="J992" s="559"/>
      <c r="K992" s="560"/>
      <c r="L992" s="560"/>
      <c r="M992" s="560"/>
    </row>
    <row r="993" spans="3:13" s="338" customFormat="1">
      <c r="C993" s="558"/>
      <c r="D993" s="559"/>
      <c r="E993" s="559"/>
      <c r="F993" s="559"/>
      <c r="G993" s="558"/>
      <c r="H993" s="559"/>
      <c r="I993" s="559"/>
      <c r="J993" s="559"/>
      <c r="K993" s="560"/>
      <c r="L993" s="560"/>
      <c r="M993" s="560"/>
    </row>
    <row r="994" spans="3:13" s="338" customFormat="1">
      <c r="C994" s="558"/>
      <c r="D994" s="559"/>
      <c r="E994" s="559"/>
      <c r="F994" s="559"/>
      <c r="G994" s="558"/>
      <c r="H994" s="559"/>
      <c r="I994" s="559"/>
      <c r="J994" s="559"/>
      <c r="K994" s="560"/>
      <c r="L994" s="560"/>
      <c r="M994" s="560"/>
    </row>
    <row r="995" spans="3:13" s="338" customFormat="1">
      <c r="C995" s="558"/>
      <c r="D995" s="559"/>
      <c r="E995" s="559"/>
      <c r="F995" s="559"/>
      <c r="G995" s="558"/>
      <c r="H995" s="559"/>
      <c r="I995" s="559"/>
      <c r="J995" s="559"/>
      <c r="K995" s="560"/>
      <c r="L995" s="560"/>
      <c r="M995" s="560"/>
    </row>
    <row r="996" spans="3:13" s="338" customFormat="1">
      <c r="C996" s="558"/>
      <c r="D996" s="559"/>
      <c r="E996" s="559"/>
      <c r="F996" s="559"/>
      <c r="G996" s="558"/>
      <c r="H996" s="559"/>
      <c r="I996" s="559"/>
      <c r="J996" s="559"/>
      <c r="K996" s="560"/>
      <c r="L996" s="560"/>
      <c r="M996" s="560"/>
    </row>
    <row r="997" spans="3:13" s="338" customFormat="1">
      <c r="C997" s="558"/>
      <c r="D997" s="559"/>
      <c r="E997" s="559"/>
      <c r="F997" s="559"/>
      <c r="G997" s="558"/>
      <c r="H997" s="559"/>
      <c r="I997" s="559"/>
      <c r="J997" s="559"/>
      <c r="K997" s="560"/>
      <c r="L997" s="560"/>
      <c r="M997" s="560"/>
    </row>
    <row r="998" spans="3:13" s="338" customFormat="1">
      <c r="C998" s="558"/>
      <c r="D998" s="559"/>
      <c r="E998" s="559"/>
      <c r="F998" s="559"/>
      <c r="G998" s="558"/>
      <c r="H998" s="559"/>
      <c r="I998" s="559"/>
      <c r="J998" s="559"/>
      <c r="K998" s="560"/>
      <c r="L998" s="560"/>
      <c r="M998" s="560"/>
    </row>
    <row r="999" spans="3:13" s="338" customFormat="1">
      <c r="C999" s="558"/>
      <c r="D999" s="559"/>
      <c r="E999" s="559"/>
      <c r="F999" s="559"/>
      <c r="G999" s="558"/>
      <c r="H999" s="559"/>
      <c r="I999" s="559"/>
      <c r="J999" s="559"/>
      <c r="K999" s="560"/>
      <c r="L999" s="560"/>
      <c r="M999" s="560"/>
    </row>
    <row r="1000" spans="3:13" s="338" customFormat="1">
      <c r="C1000" s="558"/>
      <c r="D1000" s="559"/>
      <c r="E1000" s="559"/>
      <c r="F1000" s="559"/>
      <c r="G1000" s="558"/>
      <c r="H1000" s="559"/>
      <c r="I1000" s="559"/>
      <c r="J1000" s="559"/>
      <c r="K1000" s="560"/>
      <c r="L1000" s="560"/>
      <c r="M1000" s="560"/>
    </row>
    <row r="1001" spans="3:13" s="338" customFormat="1">
      <c r="C1001" s="558"/>
      <c r="D1001" s="559"/>
      <c r="E1001" s="559"/>
      <c r="F1001" s="559"/>
      <c r="G1001" s="558"/>
      <c r="H1001" s="559"/>
      <c r="I1001" s="559"/>
      <c r="J1001" s="559"/>
      <c r="K1001" s="560"/>
      <c r="L1001" s="560"/>
      <c r="M1001" s="560"/>
    </row>
    <row r="1002" spans="3:13" s="338" customFormat="1">
      <c r="C1002" s="558"/>
      <c r="D1002" s="559"/>
      <c r="E1002" s="559"/>
      <c r="F1002" s="559"/>
      <c r="G1002" s="558"/>
      <c r="H1002" s="559"/>
      <c r="I1002" s="559"/>
      <c r="J1002" s="559"/>
      <c r="K1002" s="560"/>
      <c r="L1002" s="560"/>
      <c r="M1002" s="560"/>
    </row>
    <row r="1003" spans="3:13" s="338" customFormat="1">
      <c r="C1003" s="558"/>
      <c r="D1003" s="559"/>
      <c r="E1003" s="559"/>
      <c r="F1003" s="559"/>
      <c r="G1003" s="558"/>
      <c r="H1003" s="559"/>
      <c r="I1003" s="559"/>
      <c r="J1003" s="559"/>
      <c r="K1003" s="560"/>
      <c r="L1003" s="560"/>
      <c r="M1003" s="560"/>
    </row>
    <row r="1004" spans="3:13" s="338" customFormat="1">
      <c r="C1004" s="558"/>
      <c r="D1004" s="559"/>
      <c r="E1004" s="559"/>
      <c r="F1004" s="559"/>
      <c r="G1004" s="558"/>
      <c r="H1004" s="559"/>
      <c r="I1004" s="559"/>
      <c r="J1004" s="559"/>
      <c r="K1004" s="560"/>
      <c r="L1004" s="560"/>
      <c r="M1004" s="560"/>
    </row>
    <row r="1005" spans="3:13" s="338" customFormat="1">
      <c r="C1005" s="558"/>
      <c r="D1005" s="559"/>
      <c r="E1005" s="559"/>
      <c r="F1005" s="559"/>
      <c r="G1005" s="558"/>
      <c r="H1005" s="559"/>
      <c r="I1005" s="559"/>
      <c r="J1005" s="559"/>
      <c r="K1005" s="560"/>
      <c r="L1005" s="560"/>
      <c r="M1005" s="560"/>
    </row>
    <row r="1006" spans="3:13" s="338" customFormat="1">
      <c r="C1006" s="558"/>
      <c r="D1006" s="559"/>
      <c r="E1006" s="559"/>
      <c r="F1006" s="559"/>
      <c r="G1006" s="558"/>
      <c r="H1006" s="559"/>
      <c r="I1006" s="559"/>
      <c r="J1006" s="559"/>
      <c r="K1006" s="560"/>
      <c r="L1006" s="560"/>
      <c r="M1006" s="560"/>
    </row>
    <row r="1007" spans="3:13" s="338" customFormat="1">
      <c r="C1007" s="558"/>
      <c r="D1007" s="559"/>
      <c r="E1007" s="559"/>
      <c r="F1007" s="559"/>
      <c r="G1007" s="558"/>
      <c r="H1007" s="559"/>
      <c r="I1007" s="559"/>
      <c r="J1007" s="559"/>
      <c r="K1007" s="560"/>
      <c r="L1007" s="560"/>
      <c r="M1007" s="560"/>
    </row>
    <row r="1008" spans="3:13" s="338" customFormat="1">
      <c r="C1008" s="558"/>
      <c r="D1008" s="559"/>
      <c r="E1008" s="559"/>
      <c r="F1008" s="559"/>
      <c r="G1008" s="558"/>
      <c r="H1008" s="559"/>
      <c r="I1008" s="559"/>
      <c r="J1008" s="559"/>
      <c r="K1008" s="560"/>
      <c r="L1008" s="560"/>
      <c r="M1008" s="560"/>
    </row>
    <row r="1009" spans="3:13" s="338" customFormat="1">
      <c r="C1009" s="558"/>
      <c r="D1009" s="559"/>
      <c r="E1009" s="559"/>
      <c r="F1009" s="559"/>
      <c r="G1009" s="558"/>
      <c r="H1009" s="559"/>
      <c r="I1009" s="559"/>
      <c r="J1009" s="559"/>
      <c r="K1009" s="560"/>
      <c r="L1009" s="560"/>
      <c r="M1009" s="560"/>
    </row>
    <row r="1010" spans="3:13" s="338" customFormat="1">
      <c r="C1010" s="558"/>
      <c r="D1010" s="559"/>
      <c r="E1010" s="559"/>
      <c r="F1010" s="559"/>
      <c r="G1010" s="558"/>
      <c r="H1010" s="559"/>
      <c r="I1010" s="559"/>
      <c r="J1010" s="559"/>
      <c r="K1010" s="560"/>
      <c r="L1010" s="560"/>
      <c r="M1010" s="560"/>
    </row>
    <row r="1011" spans="3:13" s="338" customFormat="1">
      <c r="C1011" s="558"/>
      <c r="D1011" s="559"/>
      <c r="E1011" s="559"/>
      <c r="F1011" s="559"/>
      <c r="G1011" s="558"/>
      <c r="H1011" s="559"/>
      <c r="I1011" s="559"/>
      <c r="J1011" s="559"/>
      <c r="K1011" s="560"/>
      <c r="L1011" s="560"/>
      <c r="M1011" s="560"/>
    </row>
    <row r="1012" spans="3:13" s="338" customFormat="1">
      <c r="C1012" s="558"/>
      <c r="D1012" s="559"/>
      <c r="E1012" s="559"/>
      <c r="F1012" s="559"/>
      <c r="G1012" s="558"/>
      <c r="H1012" s="559"/>
      <c r="I1012" s="559"/>
      <c r="J1012" s="559"/>
      <c r="K1012" s="560"/>
      <c r="L1012" s="560"/>
      <c r="M1012" s="560"/>
    </row>
    <row r="1013" spans="3:13" s="338" customFormat="1">
      <c r="C1013" s="558"/>
      <c r="D1013" s="559"/>
      <c r="E1013" s="559"/>
      <c r="F1013" s="559"/>
      <c r="G1013" s="558"/>
      <c r="H1013" s="559"/>
      <c r="I1013" s="559"/>
      <c r="J1013" s="559"/>
      <c r="K1013" s="560"/>
      <c r="L1013" s="560"/>
      <c r="M1013" s="560"/>
    </row>
    <row r="1014" spans="3:13" s="338" customFormat="1">
      <c r="C1014" s="558"/>
      <c r="D1014" s="559"/>
      <c r="E1014" s="559"/>
      <c r="F1014" s="559"/>
      <c r="G1014" s="558"/>
      <c r="H1014" s="559"/>
      <c r="I1014" s="559"/>
      <c r="J1014" s="559"/>
      <c r="K1014" s="560"/>
      <c r="L1014" s="560"/>
      <c r="M1014" s="560"/>
    </row>
    <row r="1015" spans="3:13" s="338" customFormat="1">
      <c r="C1015" s="558"/>
      <c r="D1015" s="559"/>
      <c r="E1015" s="559"/>
      <c r="F1015" s="559"/>
      <c r="G1015" s="558"/>
      <c r="H1015" s="559"/>
      <c r="I1015" s="559"/>
      <c r="J1015" s="559"/>
      <c r="K1015" s="560"/>
      <c r="L1015" s="560"/>
      <c r="M1015" s="560"/>
    </row>
    <row r="1016" spans="3:13" s="338" customFormat="1">
      <c r="C1016" s="558"/>
      <c r="D1016" s="559"/>
      <c r="E1016" s="559"/>
      <c r="F1016" s="559"/>
      <c r="G1016" s="558"/>
      <c r="H1016" s="559"/>
      <c r="I1016" s="559"/>
      <c r="J1016" s="559"/>
      <c r="K1016" s="560"/>
      <c r="L1016" s="560"/>
      <c r="M1016" s="560"/>
    </row>
    <row r="1017" spans="3:13" s="338" customFormat="1">
      <c r="C1017" s="558"/>
      <c r="D1017" s="559"/>
      <c r="E1017" s="559"/>
      <c r="F1017" s="559"/>
      <c r="G1017" s="558"/>
      <c r="H1017" s="559"/>
      <c r="I1017" s="559"/>
      <c r="J1017" s="559"/>
      <c r="K1017" s="560"/>
      <c r="L1017" s="560"/>
      <c r="M1017" s="560"/>
    </row>
    <row r="1018" spans="3:13" s="338" customFormat="1">
      <c r="C1018" s="558"/>
      <c r="D1018" s="559"/>
      <c r="E1018" s="559"/>
      <c r="F1018" s="559"/>
      <c r="G1018" s="558"/>
      <c r="H1018" s="559"/>
      <c r="I1018" s="559"/>
      <c r="J1018" s="559"/>
      <c r="K1018" s="560"/>
      <c r="L1018" s="560"/>
      <c r="M1018" s="560"/>
    </row>
    <row r="1019" spans="3:13" s="338" customFormat="1">
      <c r="C1019" s="558"/>
      <c r="D1019" s="559"/>
      <c r="E1019" s="559"/>
      <c r="F1019" s="559"/>
      <c r="G1019" s="558"/>
      <c r="H1019" s="559"/>
      <c r="I1019" s="559"/>
      <c r="J1019" s="559"/>
      <c r="K1019" s="560"/>
      <c r="L1019" s="560"/>
      <c r="M1019" s="560"/>
    </row>
    <row r="1020" spans="3:13" s="338" customFormat="1">
      <c r="C1020" s="558"/>
      <c r="D1020" s="559"/>
      <c r="E1020" s="559"/>
      <c r="F1020" s="559"/>
      <c r="G1020" s="558"/>
      <c r="H1020" s="559"/>
      <c r="I1020" s="559"/>
      <c r="J1020" s="559"/>
      <c r="K1020" s="560"/>
      <c r="L1020" s="560"/>
      <c r="M1020" s="560"/>
    </row>
    <row r="1021" spans="3:13" s="338" customFormat="1">
      <c r="C1021" s="558"/>
      <c r="D1021" s="559"/>
      <c r="E1021" s="559"/>
      <c r="F1021" s="559"/>
      <c r="G1021" s="558"/>
      <c r="H1021" s="559"/>
      <c r="I1021" s="559"/>
      <c r="J1021" s="559"/>
      <c r="K1021" s="560"/>
      <c r="L1021" s="560"/>
      <c r="M1021" s="560"/>
    </row>
    <row r="1022" spans="3:13" s="338" customFormat="1">
      <c r="C1022" s="558"/>
      <c r="D1022" s="559"/>
      <c r="E1022" s="559"/>
      <c r="F1022" s="559"/>
      <c r="G1022" s="558"/>
      <c r="H1022" s="559"/>
      <c r="I1022" s="559"/>
      <c r="J1022" s="559"/>
      <c r="K1022" s="560"/>
      <c r="L1022" s="560"/>
      <c r="M1022" s="560"/>
    </row>
    <row r="1023" spans="3:13" s="338" customFormat="1">
      <c r="C1023" s="558"/>
      <c r="D1023" s="559"/>
      <c r="E1023" s="559"/>
      <c r="F1023" s="559"/>
      <c r="G1023" s="558"/>
      <c r="H1023" s="559"/>
      <c r="I1023" s="559"/>
      <c r="J1023" s="559"/>
      <c r="K1023" s="560"/>
      <c r="L1023" s="560"/>
      <c r="M1023" s="560"/>
    </row>
    <row r="1024" spans="3:13" s="338" customFormat="1">
      <c r="C1024" s="558"/>
      <c r="D1024" s="559"/>
      <c r="E1024" s="559"/>
      <c r="F1024" s="559"/>
      <c r="G1024" s="558"/>
      <c r="H1024" s="559"/>
      <c r="I1024" s="559"/>
      <c r="J1024" s="559"/>
      <c r="K1024" s="560"/>
      <c r="L1024" s="560"/>
      <c r="M1024" s="560"/>
    </row>
    <row r="1025" spans="3:13" s="338" customFormat="1">
      <c r="C1025" s="558"/>
      <c r="D1025" s="559"/>
      <c r="E1025" s="559"/>
      <c r="F1025" s="559"/>
      <c r="G1025" s="558"/>
      <c r="H1025" s="559"/>
      <c r="I1025" s="559"/>
      <c r="J1025" s="559"/>
      <c r="K1025" s="560"/>
      <c r="L1025" s="560"/>
      <c r="M1025" s="560"/>
    </row>
    <row r="1026" spans="3:13" s="338" customFormat="1">
      <c r="C1026" s="558"/>
      <c r="D1026" s="559"/>
      <c r="E1026" s="559"/>
      <c r="F1026" s="559"/>
      <c r="G1026" s="558"/>
      <c r="H1026" s="559"/>
      <c r="I1026" s="559"/>
      <c r="J1026" s="559"/>
      <c r="K1026" s="560"/>
      <c r="L1026" s="560"/>
      <c r="M1026" s="560"/>
    </row>
    <row r="1027" spans="3:13" s="338" customFormat="1">
      <c r="C1027" s="558"/>
      <c r="D1027" s="559"/>
      <c r="E1027" s="559"/>
      <c r="F1027" s="559"/>
      <c r="G1027" s="558"/>
      <c r="H1027" s="559"/>
      <c r="I1027" s="559"/>
      <c r="J1027" s="559"/>
      <c r="K1027" s="560"/>
      <c r="L1027" s="560"/>
      <c r="M1027" s="560"/>
    </row>
    <row r="1028" spans="3:13" s="338" customFormat="1">
      <c r="C1028" s="558"/>
      <c r="D1028" s="559"/>
      <c r="E1028" s="559"/>
      <c r="F1028" s="559"/>
      <c r="G1028" s="558"/>
      <c r="H1028" s="559"/>
      <c r="I1028" s="559"/>
      <c r="J1028" s="559"/>
      <c r="K1028" s="560"/>
      <c r="L1028" s="560"/>
      <c r="M1028" s="560"/>
    </row>
    <row r="1029" spans="3:13" s="338" customFormat="1">
      <c r="C1029" s="558"/>
      <c r="D1029" s="559"/>
      <c r="E1029" s="559"/>
      <c r="F1029" s="559"/>
      <c r="G1029" s="558"/>
      <c r="H1029" s="559"/>
      <c r="I1029" s="559"/>
      <c r="J1029" s="559"/>
      <c r="K1029" s="560"/>
      <c r="L1029" s="560"/>
      <c r="M1029" s="560"/>
    </row>
    <row r="1030" spans="3:13" s="338" customFormat="1">
      <c r="C1030" s="558"/>
      <c r="D1030" s="559"/>
      <c r="E1030" s="559"/>
      <c r="F1030" s="559"/>
      <c r="G1030" s="558"/>
      <c r="H1030" s="559"/>
      <c r="I1030" s="559"/>
      <c r="J1030" s="559"/>
      <c r="K1030" s="560"/>
      <c r="L1030" s="560"/>
      <c r="M1030" s="560"/>
    </row>
    <row r="1031" spans="3:13" s="338" customFormat="1">
      <c r="C1031" s="558"/>
      <c r="D1031" s="559"/>
      <c r="E1031" s="559"/>
      <c r="F1031" s="559"/>
      <c r="G1031" s="558"/>
      <c r="H1031" s="559"/>
      <c r="I1031" s="559"/>
      <c r="J1031" s="559"/>
      <c r="K1031" s="560"/>
      <c r="L1031" s="560"/>
      <c r="M1031" s="560"/>
    </row>
    <row r="1032" spans="3:13" s="338" customFormat="1">
      <c r="C1032" s="558"/>
      <c r="D1032" s="559"/>
      <c r="E1032" s="559"/>
      <c r="F1032" s="559"/>
      <c r="G1032" s="558"/>
      <c r="H1032" s="559"/>
      <c r="I1032" s="559"/>
      <c r="J1032" s="559"/>
      <c r="K1032" s="560"/>
      <c r="L1032" s="560"/>
      <c r="M1032" s="560"/>
    </row>
    <row r="1033" spans="3:13" s="338" customFormat="1">
      <c r="C1033" s="558"/>
      <c r="D1033" s="559"/>
      <c r="E1033" s="559"/>
      <c r="F1033" s="559"/>
      <c r="G1033" s="558"/>
      <c r="H1033" s="559"/>
      <c r="I1033" s="559"/>
      <c r="J1033" s="559"/>
      <c r="K1033" s="560"/>
      <c r="L1033" s="560"/>
      <c r="M1033" s="560"/>
    </row>
    <row r="1034" spans="3:13" s="338" customFormat="1">
      <c r="C1034" s="558"/>
      <c r="D1034" s="559"/>
      <c r="E1034" s="559"/>
      <c r="F1034" s="559"/>
      <c r="G1034" s="558"/>
      <c r="H1034" s="559"/>
      <c r="I1034" s="559"/>
      <c r="J1034" s="559"/>
      <c r="K1034" s="560"/>
      <c r="L1034" s="560"/>
      <c r="M1034" s="560"/>
    </row>
    <row r="1035" spans="3:13" s="338" customFormat="1">
      <c r="C1035" s="558"/>
      <c r="D1035" s="559"/>
      <c r="E1035" s="559"/>
      <c r="F1035" s="559"/>
      <c r="G1035" s="558"/>
      <c r="H1035" s="559"/>
      <c r="I1035" s="559"/>
      <c r="J1035" s="559"/>
      <c r="K1035" s="560"/>
      <c r="L1035" s="560"/>
      <c r="M1035" s="560"/>
    </row>
    <row r="1036" spans="3:13" s="338" customFormat="1">
      <c r="C1036" s="558"/>
      <c r="D1036" s="559"/>
      <c r="E1036" s="559"/>
      <c r="F1036" s="559"/>
      <c r="G1036" s="558"/>
      <c r="H1036" s="559"/>
      <c r="I1036" s="559"/>
      <c r="J1036" s="559"/>
      <c r="K1036" s="560"/>
      <c r="L1036" s="560"/>
      <c r="M1036" s="560"/>
    </row>
    <row r="1037" spans="3:13" s="338" customFormat="1">
      <c r="C1037" s="558"/>
      <c r="D1037" s="559"/>
      <c r="E1037" s="559"/>
      <c r="F1037" s="559"/>
      <c r="G1037" s="558"/>
      <c r="H1037" s="559"/>
      <c r="I1037" s="559"/>
      <c r="J1037" s="559"/>
      <c r="K1037" s="560"/>
      <c r="L1037" s="560"/>
      <c r="M1037" s="560"/>
    </row>
    <row r="1038" spans="3:13" s="338" customFormat="1">
      <c r="C1038" s="558"/>
      <c r="D1038" s="559"/>
      <c r="E1038" s="559"/>
      <c r="F1038" s="559"/>
      <c r="G1038" s="558"/>
      <c r="H1038" s="559"/>
      <c r="I1038" s="559"/>
      <c r="J1038" s="559"/>
      <c r="K1038" s="560"/>
      <c r="L1038" s="560"/>
      <c r="M1038" s="560"/>
    </row>
    <row r="1039" spans="3:13" s="338" customFormat="1">
      <c r="C1039" s="558"/>
      <c r="D1039" s="559"/>
      <c r="E1039" s="559"/>
      <c r="F1039" s="559"/>
      <c r="G1039" s="558"/>
      <c r="H1039" s="559"/>
      <c r="I1039" s="559"/>
      <c r="J1039" s="559"/>
      <c r="K1039" s="560"/>
      <c r="L1039" s="560"/>
      <c r="M1039" s="560"/>
    </row>
    <row r="1040" spans="3:13" s="338" customFormat="1">
      <c r="C1040" s="558"/>
      <c r="D1040" s="559"/>
      <c r="E1040" s="559"/>
      <c r="F1040" s="559"/>
      <c r="G1040" s="558"/>
      <c r="H1040" s="559"/>
      <c r="I1040" s="559"/>
      <c r="J1040" s="559"/>
      <c r="K1040" s="560"/>
      <c r="L1040" s="560"/>
      <c r="M1040" s="560"/>
    </row>
    <row r="1041" spans="3:13" s="338" customFormat="1">
      <c r="C1041" s="558"/>
      <c r="D1041" s="559"/>
      <c r="E1041" s="559"/>
      <c r="F1041" s="559"/>
      <c r="G1041" s="558"/>
      <c r="H1041" s="559"/>
      <c r="I1041" s="559"/>
      <c r="J1041" s="559"/>
      <c r="K1041" s="560"/>
      <c r="L1041" s="560"/>
      <c r="M1041" s="560"/>
    </row>
    <row r="1042" spans="3:13" s="338" customFormat="1">
      <c r="C1042" s="558"/>
      <c r="D1042" s="559"/>
      <c r="E1042" s="559"/>
      <c r="F1042" s="559"/>
      <c r="G1042" s="558"/>
      <c r="H1042" s="559"/>
      <c r="I1042" s="559"/>
      <c r="J1042" s="559"/>
      <c r="K1042" s="560"/>
      <c r="L1042" s="560"/>
      <c r="M1042" s="560"/>
    </row>
    <row r="1043" spans="3:13" s="338" customFormat="1">
      <c r="C1043" s="558"/>
      <c r="D1043" s="559"/>
      <c r="E1043" s="559"/>
      <c r="F1043" s="559"/>
      <c r="G1043" s="558"/>
      <c r="H1043" s="559"/>
      <c r="I1043" s="559"/>
      <c r="J1043" s="559"/>
      <c r="K1043" s="560"/>
      <c r="L1043" s="560"/>
      <c r="M1043" s="560"/>
    </row>
    <row r="1044" spans="3:13" s="338" customFormat="1">
      <c r="C1044" s="558"/>
      <c r="D1044" s="559"/>
      <c r="E1044" s="559"/>
      <c r="F1044" s="559"/>
      <c r="G1044" s="558"/>
      <c r="H1044" s="559"/>
      <c r="I1044" s="559"/>
      <c r="J1044" s="559"/>
      <c r="K1044" s="560"/>
      <c r="L1044" s="560"/>
      <c r="M1044" s="560"/>
    </row>
    <row r="1045" spans="3:13" s="338" customFormat="1">
      <c r="C1045" s="558"/>
      <c r="D1045" s="559"/>
      <c r="E1045" s="559"/>
      <c r="F1045" s="559"/>
      <c r="G1045" s="558"/>
      <c r="H1045" s="559"/>
      <c r="I1045" s="559"/>
      <c r="J1045" s="559"/>
      <c r="K1045" s="560"/>
      <c r="L1045" s="560"/>
      <c r="M1045" s="560"/>
    </row>
    <row r="1046" spans="3:13" s="338" customFormat="1">
      <c r="C1046" s="558"/>
      <c r="D1046" s="559"/>
      <c r="E1046" s="559"/>
      <c r="F1046" s="559"/>
      <c r="G1046" s="558"/>
      <c r="H1046" s="559"/>
      <c r="I1046" s="559"/>
      <c r="J1046" s="559"/>
      <c r="K1046" s="560"/>
      <c r="L1046" s="560"/>
      <c r="M1046" s="560"/>
    </row>
    <row r="1047" spans="3:13" s="338" customFormat="1">
      <c r="C1047" s="558"/>
      <c r="D1047" s="559"/>
      <c r="E1047" s="559"/>
      <c r="F1047" s="559"/>
      <c r="G1047" s="558"/>
      <c r="H1047" s="559"/>
      <c r="I1047" s="559"/>
      <c r="J1047" s="559"/>
      <c r="K1047" s="560"/>
      <c r="L1047" s="560"/>
      <c r="M1047" s="560"/>
    </row>
    <row r="1048" spans="3:13" s="338" customFormat="1">
      <c r="C1048" s="558"/>
      <c r="D1048" s="559"/>
      <c r="E1048" s="559"/>
      <c r="F1048" s="559"/>
      <c r="G1048" s="558"/>
      <c r="H1048" s="559"/>
      <c r="I1048" s="559"/>
      <c r="J1048" s="559"/>
      <c r="K1048" s="560"/>
      <c r="L1048" s="560"/>
      <c r="M1048" s="560"/>
    </row>
    <row r="1049" spans="3:13" s="338" customFormat="1">
      <c r="C1049" s="558"/>
      <c r="D1049" s="559"/>
      <c r="E1049" s="559"/>
      <c r="F1049" s="559"/>
      <c r="G1049" s="558"/>
      <c r="H1049" s="559"/>
      <c r="I1049" s="559"/>
      <c r="J1049" s="559"/>
      <c r="K1049" s="560"/>
      <c r="L1049" s="560"/>
      <c r="M1049" s="560"/>
    </row>
    <row r="1050" spans="3:13" s="338" customFormat="1">
      <c r="C1050" s="558"/>
      <c r="D1050" s="559"/>
      <c r="E1050" s="559"/>
      <c r="F1050" s="559"/>
      <c r="G1050" s="558"/>
      <c r="H1050" s="559"/>
      <c r="I1050" s="559"/>
      <c r="J1050" s="559"/>
      <c r="K1050" s="560"/>
      <c r="L1050" s="560"/>
      <c r="M1050" s="560"/>
    </row>
    <row r="1051" spans="3:13" s="338" customFormat="1">
      <c r="C1051" s="558"/>
      <c r="D1051" s="559"/>
      <c r="E1051" s="559"/>
      <c r="F1051" s="559"/>
      <c r="G1051" s="558"/>
      <c r="H1051" s="559"/>
      <c r="I1051" s="559"/>
      <c r="J1051" s="559"/>
      <c r="K1051" s="560"/>
      <c r="L1051" s="560"/>
      <c r="M1051" s="560"/>
    </row>
    <row r="1052" spans="3:13" s="338" customFormat="1">
      <c r="C1052" s="558"/>
      <c r="D1052" s="559"/>
      <c r="E1052" s="559"/>
      <c r="F1052" s="559"/>
      <c r="G1052" s="558"/>
      <c r="H1052" s="559"/>
      <c r="I1052" s="559"/>
      <c r="J1052" s="559"/>
      <c r="K1052" s="560"/>
      <c r="L1052" s="560"/>
      <c r="M1052" s="560"/>
    </row>
    <row r="1053" spans="3:13" s="338" customFormat="1">
      <c r="C1053" s="558"/>
      <c r="D1053" s="559"/>
      <c r="E1053" s="559"/>
      <c r="F1053" s="559"/>
      <c r="G1053" s="558"/>
      <c r="H1053" s="559"/>
      <c r="I1053" s="559"/>
      <c r="J1053" s="559"/>
      <c r="K1053" s="560"/>
      <c r="L1053" s="560"/>
      <c r="M1053" s="560"/>
    </row>
    <row r="1054" spans="3:13" s="338" customFormat="1">
      <c r="C1054" s="558"/>
      <c r="D1054" s="559"/>
      <c r="E1054" s="559"/>
      <c r="F1054" s="559"/>
      <c r="G1054" s="558"/>
      <c r="H1054" s="559"/>
      <c r="I1054" s="559"/>
      <c r="J1054" s="559"/>
      <c r="K1054" s="560"/>
      <c r="L1054" s="560"/>
      <c r="M1054" s="560"/>
    </row>
    <row r="1055" spans="3:13" s="338" customFormat="1">
      <c r="C1055" s="558"/>
      <c r="D1055" s="559"/>
      <c r="E1055" s="559"/>
      <c r="F1055" s="559"/>
      <c r="G1055" s="558"/>
      <c r="H1055" s="559"/>
      <c r="I1055" s="559"/>
      <c r="J1055" s="559"/>
      <c r="K1055" s="560"/>
      <c r="L1055" s="560"/>
      <c r="M1055" s="560"/>
    </row>
    <row r="1056" spans="3:13" s="338" customFormat="1">
      <c r="C1056" s="558"/>
      <c r="D1056" s="559"/>
      <c r="E1056" s="559"/>
      <c r="F1056" s="559"/>
      <c r="G1056" s="558"/>
      <c r="H1056" s="559"/>
      <c r="I1056" s="559"/>
      <c r="J1056" s="559"/>
      <c r="K1056" s="560"/>
      <c r="L1056" s="560"/>
      <c r="M1056" s="560"/>
    </row>
    <row r="1057" spans="3:13" s="338" customFormat="1">
      <c r="C1057" s="558"/>
      <c r="D1057" s="559"/>
      <c r="E1057" s="559"/>
      <c r="F1057" s="559"/>
      <c r="G1057" s="558"/>
      <c r="H1057" s="559"/>
      <c r="I1057" s="559"/>
      <c r="J1057" s="559"/>
      <c r="K1057" s="560"/>
      <c r="L1057" s="560"/>
      <c r="M1057" s="560"/>
    </row>
    <row r="1058" spans="3:13" s="338" customFormat="1">
      <c r="C1058" s="558"/>
      <c r="D1058" s="559"/>
      <c r="E1058" s="559"/>
      <c r="F1058" s="559"/>
      <c r="G1058" s="558"/>
      <c r="H1058" s="559"/>
      <c r="I1058" s="559"/>
      <c r="J1058" s="559"/>
      <c r="K1058" s="560"/>
      <c r="L1058" s="560"/>
      <c r="M1058" s="560"/>
    </row>
    <row r="1059" spans="3:13" s="338" customFormat="1">
      <c r="C1059" s="558"/>
      <c r="D1059" s="559"/>
      <c r="E1059" s="559"/>
      <c r="F1059" s="559"/>
      <c r="G1059" s="558"/>
      <c r="H1059" s="559"/>
      <c r="I1059" s="559"/>
      <c r="J1059" s="559"/>
      <c r="K1059" s="560"/>
      <c r="L1059" s="560"/>
      <c r="M1059" s="560"/>
    </row>
    <row r="1060" spans="3:13" s="338" customFormat="1">
      <c r="C1060" s="558"/>
      <c r="D1060" s="559"/>
      <c r="E1060" s="559"/>
      <c r="F1060" s="559"/>
      <c r="G1060" s="558"/>
      <c r="H1060" s="559"/>
      <c r="I1060" s="559"/>
      <c r="J1060" s="559"/>
      <c r="K1060" s="560"/>
      <c r="L1060" s="560"/>
      <c r="M1060" s="560"/>
    </row>
    <row r="1061" spans="3:13" s="338" customFormat="1">
      <c r="C1061" s="558"/>
      <c r="D1061" s="559"/>
      <c r="E1061" s="559"/>
      <c r="F1061" s="559"/>
      <c r="G1061" s="558"/>
      <c r="H1061" s="559"/>
      <c r="I1061" s="559"/>
      <c r="J1061" s="559"/>
      <c r="K1061" s="560"/>
      <c r="L1061" s="560"/>
      <c r="M1061" s="560"/>
    </row>
    <row r="1062" spans="3:13" s="338" customFormat="1">
      <c r="C1062" s="558"/>
      <c r="D1062" s="559"/>
      <c r="E1062" s="559"/>
      <c r="F1062" s="559"/>
      <c r="G1062" s="558"/>
      <c r="H1062" s="559"/>
      <c r="I1062" s="559"/>
      <c r="J1062" s="559"/>
      <c r="K1062" s="560"/>
      <c r="L1062" s="560"/>
      <c r="M1062" s="560"/>
    </row>
    <row r="1063" spans="3:13" s="338" customFormat="1">
      <c r="C1063" s="558"/>
      <c r="D1063" s="559"/>
      <c r="E1063" s="559"/>
      <c r="F1063" s="559"/>
      <c r="G1063" s="558"/>
      <c r="H1063" s="559"/>
      <c r="I1063" s="559"/>
      <c r="J1063" s="559"/>
      <c r="K1063" s="560"/>
      <c r="L1063" s="560"/>
      <c r="M1063" s="560"/>
    </row>
    <row r="1064" spans="3:13" s="338" customFormat="1">
      <c r="C1064" s="558"/>
      <c r="D1064" s="559"/>
      <c r="E1064" s="559"/>
      <c r="F1064" s="559"/>
      <c r="G1064" s="558"/>
      <c r="H1064" s="559"/>
      <c r="I1064" s="559"/>
      <c r="J1064" s="559"/>
      <c r="K1064" s="560"/>
      <c r="L1064" s="560"/>
      <c r="M1064" s="560"/>
    </row>
    <row r="1065" spans="3:13" s="338" customFormat="1">
      <c r="C1065" s="558"/>
      <c r="D1065" s="559"/>
      <c r="E1065" s="559"/>
      <c r="F1065" s="559"/>
      <c r="G1065" s="558"/>
      <c r="H1065" s="559"/>
      <c r="I1065" s="559"/>
      <c r="J1065" s="559"/>
      <c r="K1065" s="560"/>
      <c r="L1065" s="560"/>
      <c r="M1065" s="560"/>
    </row>
    <row r="1066" spans="3:13" s="338" customFormat="1">
      <c r="C1066" s="558"/>
      <c r="D1066" s="559"/>
      <c r="E1066" s="559"/>
      <c r="F1066" s="559"/>
      <c r="G1066" s="558"/>
      <c r="H1066" s="559"/>
      <c r="I1066" s="559"/>
      <c r="J1066" s="559"/>
      <c r="K1066" s="560"/>
      <c r="L1066" s="560"/>
      <c r="M1066" s="560"/>
    </row>
    <row r="1067" spans="3:13" s="338" customFormat="1">
      <c r="C1067" s="558"/>
      <c r="D1067" s="559"/>
      <c r="E1067" s="559"/>
      <c r="F1067" s="559"/>
      <c r="G1067" s="558"/>
      <c r="H1067" s="559"/>
      <c r="I1067" s="559"/>
      <c r="J1067" s="559"/>
      <c r="K1067" s="560"/>
      <c r="L1067" s="560"/>
      <c r="M1067" s="560"/>
    </row>
    <row r="1068" spans="3:13" s="338" customFormat="1">
      <c r="C1068" s="558"/>
      <c r="D1068" s="559"/>
      <c r="E1068" s="559"/>
      <c r="F1068" s="559"/>
      <c r="G1068" s="558"/>
      <c r="H1068" s="559"/>
      <c r="I1068" s="559"/>
      <c r="J1068" s="559"/>
      <c r="K1068" s="560"/>
      <c r="L1068" s="560"/>
      <c r="M1068" s="560"/>
    </row>
    <row r="1069" spans="3:13" s="338" customFormat="1">
      <c r="C1069" s="558"/>
      <c r="D1069" s="559"/>
      <c r="E1069" s="559"/>
      <c r="F1069" s="559"/>
      <c r="G1069" s="558"/>
      <c r="H1069" s="559"/>
      <c r="I1069" s="559"/>
      <c r="J1069" s="559"/>
      <c r="K1069" s="560"/>
      <c r="L1069" s="560"/>
      <c r="M1069" s="560"/>
    </row>
    <row r="1070" spans="3:13" s="338" customFormat="1">
      <c r="C1070" s="558"/>
      <c r="D1070" s="559"/>
      <c r="E1070" s="559"/>
      <c r="F1070" s="559"/>
      <c r="G1070" s="558"/>
      <c r="H1070" s="559"/>
      <c r="I1070" s="559"/>
      <c r="J1070" s="559"/>
      <c r="K1070" s="560"/>
      <c r="L1070" s="560"/>
      <c r="M1070" s="560"/>
    </row>
    <row r="1071" spans="3:13" s="338" customFormat="1">
      <c r="C1071" s="558"/>
      <c r="D1071" s="559"/>
      <c r="E1071" s="559"/>
      <c r="F1071" s="559"/>
      <c r="G1071" s="558"/>
      <c r="H1071" s="559"/>
      <c r="I1071" s="559"/>
      <c r="J1071" s="559"/>
      <c r="K1071" s="560"/>
      <c r="L1071" s="560"/>
      <c r="M1071" s="560"/>
    </row>
    <row r="1072" spans="3:13" s="338" customFormat="1">
      <c r="C1072" s="558"/>
      <c r="D1072" s="559"/>
      <c r="E1072" s="559"/>
      <c r="F1072" s="559"/>
      <c r="G1072" s="558"/>
      <c r="H1072" s="559"/>
      <c r="I1072" s="559"/>
      <c r="J1072" s="559"/>
      <c r="K1072" s="560"/>
      <c r="L1072" s="560"/>
      <c r="M1072" s="560"/>
    </row>
    <row r="1073" spans="3:13" s="338" customFormat="1">
      <c r="C1073" s="558"/>
      <c r="D1073" s="559"/>
      <c r="E1073" s="559"/>
      <c r="F1073" s="559"/>
      <c r="G1073" s="558"/>
      <c r="H1073" s="559"/>
      <c r="I1073" s="559"/>
      <c r="J1073" s="559"/>
      <c r="K1073" s="560"/>
      <c r="L1073" s="560"/>
      <c r="M1073" s="560"/>
    </row>
    <row r="1074" spans="3:13" s="338" customFormat="1">
      <c r="C1074" s="558"/>
      <c r="D1074" s="559"/>
      <c r="E1074" s="559"/>
      <c r="F1074" s="559"/>
      <c r="G1074" s="558"/>
      <c r="H1074" s="559"/>
      <c r="I1074" s="559"/>
      <c r="J1074" s="559"/>
      <c r="K1074" s="560"/>
      <c r="L1074" s="560"/>
      <c r="M1074" s="560"/>
    </row>
    <row r="1075" spans="3:13" s="338" customFormat="1">
      <c r="C1075" s="558"/>
      <c r="D1075" s="559"/>
      <c r="E1075" s="559"/>
      <c r="F1075" s="559"/>
      <c r="G1075" s="558"/>
      <c r="H1075" s="559"/>
      <c r="I1075" s="559"/>
      <c r="J1075" s="559"/>
      <c r="K1075" s="560"/>
      <c r="L1075" s="560"/>
      <c r="M1075" s="560"/>
    </row>
    <row r="1076" spans="3:13" s="338" customFormat="1">
      <c r="C1076" s="558"/>
      <c r="D1076" s="559"/>
      <c r="E1076" s="559"/>
      <c r="F1076" s="559"/>
      <c r="G1076" s="558"/>
      <c r="H1076" s="559"/>
      <c r="I1076" s="559"/>
      <c r="J1076" s="559"/>
      <c r="K1076" s="560"/>
      <c r="L1076" s="560"/>
      <c r="M1076" s="560"/>
    </row>
    <row r="1077" spans="3:13" s="338" customFormat="1">
      <c r="C1077" s="558"/>
      <c r="D1077" s="559"/>
      <c r="E1077" s="559"/>
      <c r="F1077" s="559"/>
      <c r="G1077" s="558"/>
      <c r="H1077" s="559"/>
      <c r="I1077" s="559"/>
      <c r="J1077" s="559"/>
      <c r="K1077" s="560"/>
      <c r="L1077" s="560"/>
      <c r="M1077" s="560"/>
    </row>
    <row r="1078" spans="3:13" s="338" customFormat="1">
      <c r="C1078" s="558"/>
      <c r="D1078" s="559"/>
      <c r="E1078" s="559"/>
      <c r="F1078" s="559"/>
      <c r="G1078" s="558"/>
      <c r="H1078" s="559"/>
      <c r="I1078" s="559"/>
      <c r="J1078" s="559"/>
      <c r="K1078" s="560"/>
      <c r="L1078" s="560"/>
      <c r="M1078" s="560"/>
    </row>
    <row r="1079" spans="3:13" s="338" customFormat="1">
      <c r="C1079" s="558"/>
      <c r="D1079" s="559"/>
      <c r="E1079" s="559"/>
      <c r="F1079" s="559"/>
      <c r="G1079" s="558"/>
      <c r="H1079" s="559"/>
      <c r="I1079" s="559"/>
      <c r="J1079" s="559"/>
      <c r="K1079" s="560"/>
      <c r="L1079" s="560"/>
      <c r="M1079" s="560"/>
    </row>
    <row r="1080" spans="3:13" s="338" customFormat="1">
      <c r="C1080" s="558"/>
      <c r="D1080" s="559"/>
      <c r="E1080" s="559"/>
      <c r="F1080" s="559"/>
      <c r="G1080" s="558"/>
      <c r="H1080" s="559"/>
      <c r="I1080" s="559"/>
      <c r="J1080" s="559"/>
      <c r="K1080" s="560"/>
      <c r="L1080" s="560"/>
      <c r="M1080" s="560"/>
    </row>
    <row r="1081" spans="3:13" s="338" customFormat="1">
      <c r="C1081" s="558"/>
      <c r="D1081" s="559"/>
      <c r="E1081" s="559"/>
      <c r="F1081" s="559"/>
      <c r="G1081" s="558"/>
      <c r="H1081" s="559"/>
      <c r="I1081" s="559"/>
      <c r="J1081" s="559"/>
      <c r="K1081" s="560"/>
      <c r="L1081" s="560"/>
      <c r="M1081" s="560"/>
    </row>
    <row r="1082" spans="3:13" s="338" customFormat="1">
      <c r="C1082" s="558"/>
      <c r="D1082" s="559"/>
      <c r="E1082" s="559"/>
      <c r="F1082" s="559"/>
      <c r="G1082" s="558"/>
      <c r="H1082" s="559"/>
      <c r="I1082" s="559"/>
      <c r="J1082" s="559"/>
      <c r="K1082" s="560"/>
      <c r="L1082" s="560"/>
      <c r="M1082" s="560"/>
    </row>
    <row r="1083" spans="3:13" s="338" customFormat="1">
      <c r="C1083" s="558"/>
      <c r="D1083" s="559"/>
      <c r="E1083" s="559"/>
      <c r="F1083" s="559"/>
      <c r="G1083" s="558"/>
      <c r="H1083" s="559"/>
      <c r="I1083" s="559"/>
      <c r="J1083" s="559"/>
      <c r="K1083" s="560"/>
      <c r="L1083" s="560"/>
      <c r="M1083" s="560"/>
    </row>
    <row r="1084" spans="3:13" s="338" customFormat="1">
      <c r="C1084" s="558"/>
      <c r="D1084" s="559"/>
      <c r="E1084" s="559"/>
      <c r="F1084" s="559"/>
      <c r="G1084" s="558"/>
      <c r="H1084" s="559"/>
      <c r="I1084" s="559"/>
      <c r="J1084" s="559"/>
      <c r="K1084" s="560"/>
      <c r="L1084" s="560"/>
      <c r="M1084" s="560"/>
    </row>
    <row r="1085" spans="3:13" s="338" customFormat="1">
      <c r="C1085" s="558"/>
      <c r="D1085" s="559"/>
      <c r="E1085" s="559"/>
      <c r="F1085" s="559"/>
      <c r="G1085" s="558"/>
      <c r="H1085" s="559"/>
      <c r="I1085" s="559"/>
      <c r="J1085" s="559"/>
      <c r="K1085" s="560"/>
      <c r="L1085" s="560"/>
      <c r="M1085" s="560"/>
    </row>
    <row r="1086" spans="3:13" s="338" customFormat="1">
      <c r="C1086" s="558"/>
      <c r="D1086" s="559"/>
      <c r="E1086" s="559"/>
      <c r="F1086" s="559"/>
      <c r="G1086" s="558"/>
      <c r="H1086" s="559"/>
      <c r="I1086" s="559"/>
      <c r="J1086" s="559"/>
      <c r="K1086" s="560"/>
      <c r="L1086" s="560"/>
      <c r="M1086" s="560"/>
    </row>
    <row r="1087" spans="3:13" s="338" customFormat="1">
      <c r="C1087" s="558"/>
      <c r="D1087" s="559"/>
      <c r="E1087" s="559"/>
      <c r="F1087" s="559"/>
      <c r="G1087" s="558"/>
      <c r="H1087" s="559"/>
      <c r="I1087" s="559"/>
      <c r="J1087" s="559"/>
      <c r="K1087" s="560"/>
      <c r="L1087" s="560"/>
      <c r="M1087" s="560"/>
    </row>
    <row r="1088" spans="3:13" s="338" customFormat="1">
      <c r="C1088" s="558"/>
      <c r="D1088" s="559"/>
      <c r="E1088" s="559"/>
      <c r="F1088" s="559"/>
      <c r="G1088" s="558"/>
      <c r="H1088" s="559"/>
      <c r="I1088" s="559"/>
      <c r="J1088" s="559"/>
      <c r="K1088" s="560"/>
      <c r="L1088" s="560"/>
      <c r="M1088" s="560"/>
    </row>
    <row r="1089" spans="3:13" s="338" customFormat="1">
      <c r="C1089" s="558"/>
      <c r="D1089" s="559"/>
      <c r="E1089" s="559"/>
      <c r="F1089" s="559"/>
      <c r="G1089" s="558"/>
      <c r="H1089" s="559"/>
      <c r="I1089" s="559"/>
      <c r="J1089" s="559"/>
      <c r="K1089" s="560"/>
      <c r="L1089" s="560"/>
      <c r="M1089" s="560"/>
    </row>
    <row r="1090" spans="3:13" s="338" customFormat="1">
      <c r="C1090" s="558"/>
      <c r="D1090" s="559"/>
      <c r="E1090" s="559"/>
      <c r="F1090" s="559"/>
      <c r="G1090" s="558"/>
      <c r="H1090" s="559"/>
      <c r="I1090" s="559"/>
      <c r="J1090" s="559"/>
      <c r="K1090" s="560"/>
      <c r="L1090" s="560"/>
      <c r="M1090" s="560"/>
    </row>
    <row r="1091" spans="3:13" s="338" customFormat="1">
      <c r="C1091" s="558"/>
      <c r="D1091" s="559"/>
      <c r="E1091" s="559"/>
      <c r="F1091" s="559"/>
      <c r="G1091" s="558"/>
      <c r="H1091" s="559"/>
      <c r="I1091" s="559"/>
      <c r="J1091" s="559"/>
      <c r="K1091" s="560"/>
      <c r="L1091" s="560"/>
      <c r="M1091" s="560"/>
    </row>
    <row r="1092" spans="3:13" s="338" customFormat="1">
      <c r="C1092" s="558"/>
      <c r="D1092" s="559"/>
      <c r="E1092" s="559"/>
      <c r="F1092" s="559"/>
      <c r="G1092" s="558"/>
      <c r="H1092" s="559"/>
      <c r="I1092" s="559"/>
      <c r="J1092" s="559"/>
      <c r="K1092" s="560"/>
      <c r="L1092" s="560"/>
      <c r="M1092" s="560"/>
    </row>
    <row r="1093" spans="3:13" s="338" customFormat="1">
      <c r="C1093" s="558"/>
      <c r="D1093" s="559"/>
      <c r="E1093" s="559"/>
      <c r="F1093" s="559"/>
      <c r="G1093" s="558"/>
      <c r="H1093" s="559"/>
      <c r="I1093" s="559"/>
      <c r="J1093" s="559"/>
      <c r="K1093" s="560"/>
      <c r="L1093" s="560"/>
      <c r="M1093" s="560"/>
    </row>
    <row r="1094" spans="3:13" s="338" customFormat="1">
      <c r="C1094" s="558"/>
      <c r="D1094" s="559"/>
      <c r="E1094" s="559"/>
      <c r="F1094" s="559"/>
      <c r="G1094" s="558"/>
      <c r="H1094" s="559"/>
      <c r="I1094" s="559"/>
      <c r="J1094" s="559"/>
      <c r="K1094" s="560"/>
      <c r="L1094" s="560"/>
      <c r="M1094" s="560"/>
    </row>
    <row r="1095" spans="3:13" s="338" customFormat="1">
      <c r="C1095" s="558"/>
      <c r="D1095" s="559"/>
      <c r="E1095" s="559"/>
      <c r="F1095" s="559"/>
      <c r="G1095" s="558"/>
      <c r="H1095" s="559"/>
      <c r="I1095" s="559"/>
      <c r="J1095" s="559"/>
      <c r="K1095" s="560"/>
      <c r="L1095" s="560"/>
      <c r="M1095" s="560"/>
    </row>
    <row r="1096" spans="3:13" s="338" customFormat="1">
      <c r="C1096" s="558"/>
      <c r="D1096" s="559"/>
      <c r="E1096" s="559"/>
      <c r="F1096" s="559"/>
      <c r="G1096" s="558"/>
      <c r="H1096" s="559"/>
      <c r="I1096" s="559"/>
      <c r="J1096" s="559"/>
      <c r="K1096" s="560"/>
      <c r="L1096" s="560"/>
      <c r="M1096" s="560"/>
    </row>
    <row r="1097" spans="3:13" s="338" customFormat="1">
      <c r="C1097" s="558"/>
      <c r="D1097" s="559"/>
      <c r="E1097" s="559"/>
      <c r="F1097" s="559"/>
      <c r="G1097" s="558"/>
      <c r="H1097" s="559"/>
      <c r="I1097" s="559"/>
      <c r="J1097" s="559"/>
      <c r="K1097" s="560"/>
      <c r="L1097" s="560"/>
      <c r="M1097" s="560"/>
    </row>
    <row r="1098" spans="3:13" s="338" customFormat="1">
      <c r="C1098" s="558"/>
      <c r="D1098" s="559"/>
      <c r="E1098" s="559"/>
      <c r="F1098" s="559"/>
      <c r="G1098" s="558"/>
      <c r="H1098" s="559"/>
      <c r="I1098" s="559"/>
      <c r="J1098" s="559"/>
      <c r="K1098" s="560"/>
      <c r="L1098" s="560"/>
      <c r="M1098" s="560"/>
    </row>
    <row r="1099" spans="3:13" s="338" customFormat="1">
      <c r="C1099" s="558"/>
      <c r="D1099" s="559"/>
      <c r="E1099" s="559"/>
      <c r="F1099" s="559"/>
      <c r="G1099" s="558"/>
      <c r="H1099" s="559"/>
      <c r="I1099" s="559"/>
      <c r="J1099" s="559"/>
      <c r="K1099" s="560"/>
      <c r="L1099" s="560"/>
      <c r="M1099" s="560"/>
    </row>
    <row r="1100" spans="3:13" s="338" customFormat="1">
      <c r="C1100" s="558"/>
      <c r="D1100" s="559"/>
      <c r="E1100" s="559"/>
      <c r="F1100" s="559"/>
      <c r="G1100" s="558"/>
      <c r="H1100" s="559"/>
      <c r="I1100" s="559"/>
      <c r="J1100" s="559"/>
      <c r="K1100" s="560"/>
      <c r="L1100" s="560"/>
      <c r="M1100" s="560"/>
    </row>
    <row r="1101" spans="3:13" s="338" customFormat="1">
      <c r="C1101" s="558"/>
      <c r="D1101" s="559"/>
      <c r="E1101" s="559"/>
      <c r="F1101" s="559"/>
      <c r="G1101" s="558"/>
      <c r="H1101" s="559"/>
      <c r="I1101" s="559"/>
      <c r="J1101" s="559"/>
      <c r="K1101" s="560"/>
      <c r="L1101" s="560"/>
      <c r="M1101" s="560"/>
    </row>
    <row r="1102" spans="3:13" s="338" customFormat="1">
      <c r="C1102" s="558"/>
      <c r="D1102" s="559"/>
      <c r="E1102" s="559"/>
      <c r="F1102" s="559"/>
      <c r="G1102" s="558"/>
      <c r="H1102" s="559"/>
      <c r="I1102" s="559"/>
      <c r="J1102" s="559"/>
      <c r="K1102" s="560"/>
      <c r="L1102" s="560"/>
      <c r="M1102" s="560"/>
    </row>
    <row r="1103" spans="3:13" s="338" customFormat="1">
      <c r="C1103" s="558"/>
      <c r="D1103" s="559"/>
      <c r="E1103" s="559"/>
      <c r="F1103" s="559"/>
      <c r="G1103" s="558"/>
      <c r="H1103" s="559"/>
      <c r="I1103" s="559"/>
      <c r="J1103" s="559"/>
      <c r="K1103" s="560"/>
      <c r="L1103" s="560"/>
      <c r="M1103" s="560"/>
    </row>
    <row r="1104" spans="3:13" s="338" customFormat="1">
      <c r="C1104" s="558"/>
      <c r="D1104" s="559"/>
      <c r="E1104" s="559"/>
      <c r="F1104" s="559"/>
      <c r="G1104" s="558"/>
      <c r="H1104" s="559"/>
      <c r="I1104" s="559"/>
      <c r="J1104" s="559"/>
      <c r="K1104" s="560"/>
      <c r="L1104" s="560"/>
      <c r="M1104" s="560"/>
    </row>
    <row r="1105" spans="3:13" s="338" customFormat="1">
      <c r="C1105" s="558"/>
      <c r="D1105" s="559"/>
      <c r="E1105" s="559"/>
      <c r="F1105" s="559"/>
      <c r="G1105" s="558"/>
      <c r="H1105" s="559"/>
      <c r="I1105" s="559"/>
      <c r="J1105" s="559"/>
      <c r="K1105" s="560"/>
      <c r="L1105" s="560"/>
      <c r="M1105" s="560"/>
    </row>
    <row r="1106" spans="3:13" s="338" customFormat="1">
      <c r="C1106" s="558"/>
      <c r="D1106" s="559"/>
      <c r="E1106" s="559"/>
      <c r="F1106" s="559"/>
      <c r="G1106" s="558"/>
      <c r="H1106" s="559"/>
      <c r="I1106" s="559"/>
      <c r="J1106" s="559"/>
      <c r="K1106" s="560"/>
      <c r="L1106" s="560"/>
      <c r="M1106" s="560"/>
    </row>
    <row r="1107" spans="3:13" s="338" customFormat="1">
      <c r="C1107" s="558"/>
      <c r="D1107" s="559"/>
      <c r="E1107" s="559"/>
      <c r="F1107" s="559"/>
      <c r="G1107" s="558"/>
      <c r="H1107" s="559"/>
      <c r="I1107" s="559"/>
      <c r="J1107" s="559"/>
      <c r="K1107" s="560"/>
      <c r="L1107" s="560"/>
      <c r="M1107" s="560"/>
    </row>
    <row r="1108" spans="3:13" s="338" customFormat="1">
      <c r="C1108" s="558"/>
      <c r="D1108" s="559"/>
      <c r="E1108" s="559"/>
      <c r="F1108" s="559"/>
      <c r="G1108" s="558"/>
      <c r="H1108" s="559"/>
      <c r="I1108" s="559"/>
      <c r="J1108" s="559"/>
      <c r="K1108" s="560"/>
      <c r="L1108" s="560"/>
      <c r="M1108" s="560"/>
    </row>
    <row r="1109" spans="3:13" s="338" customFormat="1">
      <c r="C1109" s="558"/>
      <c r="D1109" s="559"/>
      <c r="E1109" s="559"/>
      <c r="F1109" s="559"/>
      <c r="G1109" s="558"/>
      <c r="H1109" s="559"/>
      <c r="I1109" s="559"/>
      <c r="J1109" s="559"/>
      <c r="K1109" s="560"/>
      <c r="L1109" s="560"/>
      <c r="M1109" s="560"/>
    </row>
    <row r="1110" spans="3:13" s="338" customFormat="1">
      <c r="C1110" s="558"/>
      <c r="D1110" s="559"/>
      <c r="E1110" s="559"/>
      <c r="F1110" s="559"/>
      <c r="G1110" s="558"/>
      <c r="H1110" s="559"/>
      <c r="I1110" s="559"/>
      <c r="J1110" s="559"/>
      <c r="K1110" s="560"/>
      <c r="L1110" s="560"/>
      <c r="M1110" s="560"/>
    </row>
    <row r="1111" spans="3:13" s="338" customFormat="1">
      <c r="C1111" s="558"/>
      <c r="D1111" s="559"/>
      <c r="E1111" s="559"/>
      <c r="F1111" s="559"/>
      <c r="G1111" s="558"/>
      <c r="H1111" s="559"/>
      <c r="I1111" s="559"/>
      <c r="J1111" s="559"/>
      <c r="K1111" s="560"/>
      <c r="L1111" s="560"/>
      <c r="M1111" s="560"/>
    </row>
    <row r="1112" spans="3:13" s="338" customFormat="1">
      <c r="C1112" s="558"/>
      <c r="D1112" s="559"/>
      <c r="E1112" s="559"/>
      <c r="F1112" s="559"/>
      <c r="G1112" s="558"/>
      <c r="H1112" s="559"/>
      <c r="I1112" s="559"/>
      <c r="J1112" s="559"/>
      <c r="K1112" s="560"/>
      <c r="L1112" s="560"/>
      <c r="M1112" s="560"/>
    </row>
    <row r="1113" spans="3:13" s="338" customFormat="1">
      <c r="C1113" s="558"/>
      <c r="D1113" s="559"/>
      <c r="E1113" s="559"/>
      <c r="F1113" s="559"/>
      <c r="G1113" s="558"/>
      <c r="H1113" s="559"/>
      <c r="I1113" s="559"/>
      <c r="J1113" s="559"/>
      <c r="K1113" s="560"/>
      <c r="L1113" s="560"/>
      <c r="M1113" s="560"/>
    </row>
    <row r="1114" spans="3:13" s="338" customFormat="1">
      <c r="C1114" s="558"/>
      <c r="D1114" s="559"/>
      <c r="E1114" s="559"/>
      <c r="F1114" s="559"/>
      <c r="G1114" s="558"/>
      <c r="H1114" s="559"/>
      <c r="I1114" s="559"/>
      <c r="J1114" s="559"/>
      <c r="K1114" s="560"/>
      <c r="L1114" s="560"/>
      <c r="M1114" s="560"/>
    </row>
    <row r="1115" spans="3:13" s="338" customFormat="1">
      <c r="C1115" s="558"/>
      <c r="D1115" s="559"/>
      <c r="E1115" s="559"/>
      <c r="F1115" s="559"/>
      <c r="G1115" s="558"/>
      <c r="H1115" s="559"/>
      <c r="I1115" s="559"/>
      <c r="J1115" s="559"/>
      <c r="K1115" s="560"/>
      <c r="L1115" s="560"/>
      <c r="M1115" s="560"/>
    </row>
    <row r="1116" spans="3:13" s="338" customFormat="1">
      <c r="C1116" s="558"/>
      <c r="D1116" s="559"/>
      <c r="E1116" s="559"/>
      <c r="F1116" s="559"/>
      <c r="G1116" s="558"/>
      <c r="H1116" s="559"/>
      <c r="I1116" s="559"/>
      <c r="J1116" s="559"/>
      <c r="K1116" s="560"/>
      <c r="L1116" s="560"/>
      <c r="M1116" s="560"/>
    </row>
    <row r="1117" spans="3:13" s="338" customFormat="1">
      <c r="C1117" s="558"/>
      <c r="D1117" s="559"/>
      <c r="E1117" s="559"/>
      <c r="F1117" s="559"/>
      <c r="G1117" s="558"/>
      <c r="H1117" s="559"/>
      <c r="I1117" s="559"/>
      <c r="J1117" s="559"/>
      <c r="K1117" s="560"/>
      <c r="L1117" s="560"/>
      <c r="M1117" s="560"/>
    </row>
    <row r="1118" spans="3:13" s="338" customFormat="1">
      <c r="C1118" s="558"/>
      <c r="D1118" s="559"/>
      <c r="E1118" s="559"/>
      <c r="F1118" s="559"/>
      <c r="G1118" s="558"/>
      <c r="H1118" s="559"/>
      <c r="I1118" s="559"/>
      <c r="J1118" s="559"/>
      <c r="K1118" s="560"/>
      <c r="L1118" s="560"/>
      <c r="M1118" s="560"/>
    </row>
    <row r="1119" spans="3:13" s="338" customFormat="1">
      <c r="C1119" s="558"/>
      <c r="D1119" s="559"/>
      <c r="E1119" s="559"/>
      <c r="F1119" s="559"/>
      <c r="G1119" s="558"/>
      <c r="H1119" s="559"/>
      <c r="I1119" s="559"/>
      <c r="J1119" s="559"/>
      <c r="K1119" s="560"/>
      <c r="L1119" s="560"/>
      <c r="M1119" s="560"/>
    </row>
    <row r="1120" spans="3:13" s="338" customFormat="1">
      <c r="C1120" s="558"/>
      <c r="D1120" s="559"/>
      <c r="E1120" s="559"/>
      <c r="F1120" s="559"/>
      <c r="G1120" s="558"/>
      <c r="H1120" s="559"/>
      <c r="I1120" s="559"/>
      <c r="J1120" s="559"/>
      <c r="K1120" s="560"/>
      <c r="L1120" s="560"/>
      <c r="M1120" s="560"/>
    </row>
    <row r="1121" spans="3:13" s="338" customFormat="1">
      <c r="C1121" s="558"/>
      <c r="D1121" s="559"/>
      <c r="E1121" s="559"/>
      <c r="F1121" s="559"/>
      <c r="G1121" s="558"/>
      <c r="H1121" s="559"/>
      <c r="I1121" s="559"/>
      <c r="J1121" s="559"/>
      <c r="K1121" s="560"/>
      <c r="L1121" s="560"/>
      <c r="M1121" s="560"/>
    </row>
    <row r="1122" spans="3:13" s="338" customFormat="1">
      <c r="C1122" s="558"/>
      <c r="D1122" s="559"/>
      <c r="E1122" s="559"/>
      <c r="F1122" s="559"/>
      <c r="G1122" s="558"/>
      <c r="H1122" s="559"/>
      <c r="I1122" s="559"/>
      <c r="J1122" s="559"/>
      <c r="K1122" s="560"/>
      <c r="L1122" s="560"/>
      <c r="M1122" s="560"/>
    </row>
    <row r="1123" spans="3:13" s="338" customFormat="1">
      <c r="C1123" s="558"/>
      <c r="D1123" s="559"/>
      <c r="E1123" s="559"/>
      <c r="F1123" s="559"/>
      <c r="G1123" s="558"/>
      <c r="H1123" s="559"/>
      <c r="I1123" s="559"/>
      <c r="J1123" s="559"/>
      <c r="K1123" s="560"/>
      <c r="L1123" s="560"/>
      <c r="M1123" s="560"/>
    </row>
    <row r="1124" spans="3:13" s="338" customFormat="1">
      <c r="C1124" s="558"/>
      <c r="D1124" s="559"/>
      <c r="E1124" s="559"/>
      <c r="F1124" s="559"/>
      <c r="G1124" s="558"/>
      <c r="H1124" s="559"/>
      <c r="I1124" s="559"/>
      <c r="J1124" s="559"/>
      <c r="K1124" s="560"/>
      <c r="L1124" s="560"/>
      <c r="M1124" s="560"/>
    </row>
    <row r="1125" spans="3:13" s="338" customFormat="1">
      <c r="C1125" s="558"/>
      <c r="D1125" s="559"/>
      <c r="E1125" s="559"/>
      <c r="F1125" s="559"/>
      <c r="G1125" s="558"/>
      <c r="H1125" s="559"/>
      <c r="I1125" s="559"/>
      <c r="J1125" s="559"/>
      <c r="K1125" s="560"/>
      <c r="L1125" s="560"/>
      <c r="M1125" s="560"/>
    </row>
    <row r="1126" spans="3:13" s="338" customFormat="1">
      <c r="C1126" s="558"/>
      <c r="D1126" s="559"/>
      <c r="E1126" s="559"/>
      <c r="F1126" s="559"/>
      <c r="G1126" s="558"/>
      <c r="H1126" s="559"/>
      <c r="I1126" s="559"/>
      <c r="J1126" s="559"/>
      <c r="K1126" s="560"/>
      <c r="L1126" s="560"/>
      <c r="M1126" s="560"/>
    </row>
    <row r="1127" spans="3:13" s="338" customFormat="1">
      <c r="C1127" s="558"/>
      <c r="D1127" s="559"/>
      <c r="E1127" s="559"/>
      <c r="F1127" s="559"/>
      <c r="G1127" s="558"/>
      <c r="H1127" s="559"/>
      <c r="I1127" s="559"/>
      <c r="J1127" s="559"/>
      <c r="K1127" s="560"/>
      <c r="L1127" s="560"/>
      <c r="M1127" s="560"/>
    </row>
    <row r="1128" spans="3:13" s="338" customFormat="1">
      <c r="C1128" s="558"/>
      <c r="D1128" s="559"/>
      <c r="E1128" s="559"/>
      <c r="F1128" s="559"/>
      <c r="G1128" s="558"/>
      <c r="H1128" s="559"/>
      <c r="I1128" s="559"/>
      <c r="J1128" s="559"/>
      <c r="K1128" s="560"/>
      <c r="L1128" s="560"/>
      <c r="M1128" s="560"/>
    </row>
    <row r="1129" spans="3:13" s="338" customFormat="1">
      <c r="C1129" s="558"/>
      <c r="D1129" s="559"/>
      <c r="E1129" s="559"/>
      <c r="F1129" s="559"/>
      <c r="G1129" s="558"/>
      <c r="H1129" s="559"/>
      <c r="I1129" s="559"/>
      <c r="J1129" s="559"/>
      <c r="K1129" s="560"/>
      <c r="L1129" s="560"/>
      <c r="M1129" s="560"/>
    </row>
    <row r="1130" spans="3:13" s="338" customFormat="1">
      <c r="C1130" s="558"/>
      <c r="D1130" s="559"/>
      <c r="E1130" s="559"/>
      <c r="F1130" s="559"/>
      <c r="G1130" s="558"/>
      <c r="H1130" s="559"/>
      <c r="I1130" s="559"/>
      <c r="J1130" s="559"/>
      <c r="K1130" s="560"/>
      <c r="L1130" s="560"/>
      <c r="M1130" s="560"/>
    </row>
    <row r="1131" spans="3:13" s="338" customFormat="1">
      <c r="C1131" s="558"/>
      <c r="D1131" s="559"/>
      <c r="E1131" s="559"/>
      <c r="F1131" s="559"/>
      <c r="G1131" s="558"/>
      <c r="H1131" s="559"/>
      <c r="I1131" s="559"/>
      <c r="J1131" s="559"/>
      <c r="K1131" s="560"/>
      <c r="L1131" s="560"/>
      <c r="M1131" s="560"/>
    </row>
    <row r="1132" spans="3:13" s="338" customFormat="1">
      <c r="C1132" s="558"/>
      <c r="D1132" s="559"/>
      <c r="E1132" s="559"/>
      <c r="F1132" s="559"/>
      <c r="G1132" s="558"/>
      <c r="H1132" s="559"/>
      <c r="I1132" s="559"/>
      <c r="J1132" s="559"/>
      <c r="K1132" s="560"/>
      <c r="L1132" s="560"/>
      <c r="M1132" s="560"/>
    </row>
    <row r="1133" spans="3:13" s="338" customFormat="1">
      <c r="C1133" s="558"/>
      <c r="D1133" s="559"/>
      <c r="E1133" s="559"/>
      <c r="F1133" s="559"/>
      <c r="G1133" s="558"/>
      <c r="H1133" s="559"/>
      <c r="I1133" s="559"/>
      <c r="J1133" s="559"/>
      <c r="K1133" s="560"/>
      <c r="L1133" s="560"/>
      <c r="M1133" s="560"/>
    </row>
    <row r="1134" spans="3:13" s="338" customFormat="1">
      <c r="C1134" s="558"/>
      <c r="D1134" s="559"/>
      <c r="E1134" s="559"/>
      <c r="F1134" s="559"/>
      <c r="G1134" s="558"/>
      <c r="H1134" s="559"/>
      <c r="I1134" s="559"/>
      <c r="J1134" s="559"/>
      <c r="K1134" s="560"/>
      <c r="L1134" s="560"/>
      <c r="M1134" s="560"/>
    </row>
    <row r="1135" spans="3:13" s="338" customFormat="1">
      <c r="C1135" s="558"/>
      <c r="D1135" s="559"/>
      <c r="E1135" s="559"/>
      <c r="F1135" s="559"/>
      <c r="G1135" s="558"/>
      <c r="H1135" s="559"/>
      <c r="I1135" s="559"/>
      <c r="J1135" s="559"/>
      <c r="K1135" s="560"/>
      <c r="L1135" s="560"/>
      <c r="M1135" s="560"/>
    </row>
    <row r="1136" spans="3:13" s="338" customFormat="1">
      <c r="C1136" s="558"/>
      <c r="D1136" s="559"/>
      <c r="E1136" s="559"/>
      <c r="F1136" s="559"/>
      <c r="G1136" s="558"/>
      <c r="H1136" s="559"/>
      <c r="I1136" s="559"/>
      <c r="J1136" s="559"/>
      <c r="K1136" s="560"/>
      <c r="L1136" s="560"/>
      <c r="M1136" s="560"/>
    </row>
    <row r="1137" spans="3:13" s="338" customFormat="1">
      <c r="C1137" s="558"/>
      <c r="D1137" s="559"/>
      <c r="E1137" s="559"/>
      <c r="F1137" s="559"/>
      <c r="G1137" s="558"/>
      <c r="H1137" s="559"/>
      <c r="I1137" s="559"/>
      <c r="J1137" s="559"/>
      <c r="K1137" s="560"/>
      <c r="L1137" s="560"/>
      <c r="M1137" s="560"/>
    </row>
    <row r="1138" spans="3:13" s="338" customFormat="1">
      <c r="C1138" s="558"/>
      <c r="D1138" s="559"/>
      <c r="E1138" s="559"/>
      <c r="F1138" s="559"/>
      <c r="G1138" s="558"/>
      <c r="H1138" s="559"/>
      <c r="I1138" s="559"/>
      <c r="J1138" s="559"/>
      <c r="K1138" s="560"/>
      <c r="L1138" s="560"/>
      <c r="M1138" s="560"/>
    </row>
    <row r="1139" spans="3:13" s="338" customFormat="1">
      <c r="C1139" s="558"/>
      <c r="D1139" s="559"/>
      <c r="E1139" s="559"/>
      <c r="F1139" s="559"/>
      <c r="G1139" s="558"/>
      <c r="H1139" s="559"/>
      <c r="I1139" s="559"/>
      <c r="J1139" s="559"/>
      <c r="K1139" s="560"/>
      <c r="L1139" s="560"/>
      <c r="M1139" s="560"/>
    </row>
    <row r="1140" spans="3:13" s="338" customFormat="1">
      <c r="C1140" s="558"/>
      <c r="D1140" s="559"/>
      <c r="E1140" s="559"/>
      <c r="F1140" s="559"/>
      <c r="G1140" s="558"/>
      <c r="H1140" s="559"/>
      <c r="I1140" s="559"/>
      <c r="J1140" s="559"/>
      <c r="K1140" s="560"/>
      <c r="L1140" s="560"/>
      <c r="M1140" s="560"/>
    </row>
    <row r="1141" spans="3:13" s="338" customFormat="1">
      <c r="C1141" s="558"/>
      <c r="D1141" s="559"/>
      <c r="E1141" s="559"/>
      <c r="F1141" s="559"/>
      <c r="G1141" s="558"/>
      <c r="H1141" s="559"/>
      <c r="I1141" s="559"/>
      <c r="J1141" s="559"/>
      <c r="K1141" s="560"/>
      <c r="L1141" s="560"/>
      <c r="M1141" s="560"/>
    </row>
    <row r="1142" spans="3:13" s="338" customFormat="1">
      <c r="C1142" s="558"/>
      <c r="D1142" s="559"/>
      <c r="E1142" s="559"/>
      <c r="F1142" s="559"/>
      <c r="G1142" s="558"/>
      <c r="H1142" s="559"/>
      <c r="I1142" s="559"/>
      <c r="J1142" s="559"/>
      <c r="K1142" s="560"/>
      <c r="L1142" s="560"/>
      <c r="M1142" s="560"/>
    </row>
    <row r="1143" spans="3:13" s="338" customFormat="1">
      <c r="C1143" s="558"/>
      <c r="D1143" s="559"/>
      <c r="E1143" s="559"/>
      <c r="F1143" s="559"/>
      <c r="G1143" s="558"/>
      <c r="H1143" s="559"/>
      <c r="I1143" s="559"/>
      <c r="J1143" s="559"/>
      <c r="K1143" s="560"/>
      <c r="L1143" s="560"/>
      <c r="M1143" s="560"/>
    </row>
    <row r="1144" spans="3:13" s="338" customFormat="1">
      <c r="C1144" s="558"/>
      <c r="D1144" s="559"/>
      <c r="E1144" s="559"/>
      <c r="F1144" s="559"/>
      <c r="G1144" s="558"/>
      <c r="H1144" s="559"/>
      <c r="I1144" s="559"/>
      <c r="J1144" s="559"/>
      <c r="K1144" s="560"/>
      <c r="L1144" s="560"/>
      <c r="M1144" s="560"/>
    </row>
    <row r="1145" spans="3:13" s="338" customFormat="1">
      <c r="C1145" s="558"/>
      <c r="D1145" s="559"/>
      <c r="E1145" s="559"/>
      <c r="F1145" s="559"/>
      <c r="G1145" s="558"/>
      <c r="H1145" s="559"/>
      <c r="I1145" s="559"/>
      <c r="J1145" s="559"/>
      <c r="K1145" s="560"/>
      <c r="L1145" s="560"/>
      <c r="M1145" s="560"/>
    </row>
    <row r="1146" spans="3:13" s="338" customFormat="1">
      <c r="C1146" s="558"/>
      <c r="D1146" s="559"/>
      <c r="E1146" s="559"/>
      <c r="F1146" s="559"/>
      <c r="G1146" s="558"/>
      <c r="H1146" s="559"/>
      <c r="I1146" s="559"/>
      <c r="J1146" s="559"/>
      <c r="K1146" s="560"/>
      <c r="L1146" s="560"/>
      <c r="M1146" s="560"/>
    </row>
    <row r="1147" spans="3:13" s="338" customFormat="1">
      <c r="C1147" s="558"/>
      <c r="D1147" s="559"/>
      <c r="E1147" s="559"/>
      <c r="F1147" s="559"/>
      <c r="G1147" s="558"/>
      <c r="H1147" s="559"/>
      <c r="I1147" s="559"/>
      <c r="J1147" s="559"/>
      <c r="K1147" s="560"/>
      <c r="L1147" s="560"/>
      <c r="M1147" s="560"/>
    </row>
    <row r="1148" spans="3:13" s="338" customFormat="1">
      <c r="C1148" s="558"/>
      <c r="D1148" s="559"/>
      <c r="E1148" s="559"/>
      <c r="F1148" s="559"/>
      <c r="G1148" s="558"/>
      <c r="H1148" s="559"/>
      <c r="I1148" s="559"/>
      <c r="J1148" s="559"/>
      <c r="K1148" s="560"/>
      <c r="L1148" s="560"/>
      <c r="M1148" s="560"/>
    </row>
    <row r="1149" spans="3:13" s="338" customFormat="1">
      <c r="C1149" s="558"/>
      <c r="D1149" s="559"/>
      <c r="E1149" s="559"/>
      <c r="F1149" s="559"/>
      <c r="G1149" s="558"/>
      <c r="H1149" s="559"/>
      <c r="I1149" s="559"/>
      <c r="J1149" s="559"/>
      <c r="K1149" s="560"/>
      <c r="L1149" s="560"/>
      <c r="M1149" s="560"/>
    </row>
    <row r="1150" spans="3:13" s="338" customFormat="1">
      <c r="C1150" s="558"/>
      <c r="D1150" s="559"/>
      <c r="E1150" s="559"/>
      <c r="F1150" s="559"/>
      <c r="G1150" s="558"/>
      <c r="H1150" s="559"/>
      <c r="I1150" s="559"/>
      <c r="J1150" s="559"/>
      <c r="K1150" s="560"/>
      <c r="L1150" s="560"/>
      <c r="M1150" s="560"/>
    </row>
    <row r="1151" spans="3:13" s="338" customFormat="1">
      <c r="C1151" s="558"/>
      <c r="D1151" s="559"/>
      <c r="E1151" s="559"/>
      <c r="F1151" s="559"/>
      <c r="G1151" s="558"/>
      <c r="H1151" s="559"/>
      <c r="I1151" s="559"/>
      <c r="J1151" s="559"/>
      <c r="K1151" s="560"/>
      <c r="L1151" s="560"/>
      <c r="M1151" s="560"/>
    </row>
    <row r="1152" spans="3:13" s="338" customFormat="1">
      <c r="C1152" s="558"/>
      <c r="D1152" s="559"/>
      <c r="E1152" s="559"/>
      <c r="F1152" s="559"/>
      <c r="G1152" s="558"/>
      <c r="H1152" s="559"/>
      <c r="I1152" s="559"/>
      <c r="J1152" s="559"/>
      <c r="K1152" s="560"/>
      <c r="L1152" s="560"/>
      <c r="M1152" s="560"/>
    </row>
    <row r="1153" spans="3:13" s="338" customFormat="1">
      <c r="C1153" s="558"/>
      <c r="D1153" s="559"/>
      <c r="E1153" s="559"/>
      <c r="F1153" s="559"/>
      <c r="G1153" s="558"/>
      <c r="H1153" s="559"/>
      <c r="I1153" s="559"/>
      <c r="J1153" s="559"/>
      <c r="K1153" s="560"/>
      <c r="L1153" s="560"/>
      <c r="M1153" s="560"/>
    </row>
    <row r="1154" spans="3:13" s="338" customFormat="1">
      <c r="C1154" s="558"/>
      <c r="D1154" s="559"/>
      <c r="E1154" s="559"/>
      <c r="F1154" s="559"/>
      <c r="G1154" s="558"/>
      <c r="H1154" s="559"/>
      <c r="I1154" s="559"/>
      <c r="J1154" s="559"/>
      <c r="K1154" s="560"/>
      <c r="L1154" s="560"/>
      <c r="M1154" s="560"/>
    </row>
    <row r="1155" spans="3:13" s="338" customFormat="1">
      <c r="C1155" s="558"/>
      <c r="D1155" s="559"/>
      <c r="E1155" s="559"/>
      <c r="F1155" s="559"/>
      <c r="G1155" s="558"/>
      <c r="H1155" s="559"/>
      <c r="I1155" s="559"/>
      <c r="J1155" s="559"/>
      <c r="K1155" s="560"/>
      <c r="L1155" s="560"/>
      <c r="M1155" s="560"/>
    </row>
    <row r="1156" spans="3:13" s="338" customFormat="1">
      <c r="C1156" s="558"/>
      <c r="D1156" s="559"/>
      <c r="E1156" s="559"/>
      <c r="F1156" s="559"/>
      <c r="G1156" s="558"/>
      <c r="H1156" s="559"/>
      <c r="I1156" s="559"/>
      <c r="J1156" s="559"/>
      <c r="K1156" s="560"/>
      <c r="L1156" s="560"/>
      <c r="M1156" s="560"/>
    </row>
    <row r="1157" spans="3:13" s="338" customFormat="1">
      <c r="C1157" s="558"/>
      <c r="D1157" s="559"/>
      <c r="E1157" s="559"/>
      <c r="F1157" s="559"/>
      <c r="G1157" s="558"/>
      <c r="H1157" s="559"/>
      <c r="I1157" s="559"/>
      <c r="J1157" s="559"/>
      <c r="K1157" s="560"/>
      <c r="L1157" s="560"/>
      <c r="M1157" s="560"/>
    </row>
    <row r="1158" spans="3:13" s="338" customFormat="1">
      <c r="C1158" s="558"/>
      <c r="D1158" s="559"/>
      <c r="E1158" s="559"/>
      <c r="F1158" s="559"/>
      <c r="G1158" s="558"/>
      <c r="H1158" s="559"/>
      <c r="I1158" s="559"/>
      <c r="J1158" s="559"/>
      <c r="K1158" s="560"/>
      <c r="L1158" s="560"/>
      <c r="M1158" s="560"/>
    </row>
    <row r="1159" spans="3:13" s="338" customFormat="1">
      <c r="C1159" s="558"/>
      <c r="D1159" s="559"/>
      <c r="E1159" s="559"/>
      <c r="F1159" s="559"/>
      <c r="G1159" s="558"/>
      <c r="H1159" s="559"/>
      <c r="I1159" s="559"/>
      <c r="J1159" s="559"/>
      <c r="K1159" s="560"/>
      <c r="L1159" s="560"/>
      <c r="M1159" s="560"/>
    </row>
    <row r="1160" spans="3:13" s="338" customFormat="1">
      <c r="C1160" s="558"/>
      <c r="D1160" s="559"/>
      <c r="E1160" s="559"/>
      <c r="F1160" s="559"/>
      <c r="G1160" s="558"/>
      <c r="H1160" s="559"/>
      <c r="I1160" s="559"/>
      <c r="J1160" s="559"/>
      <c r="K1160" s="560"/>
      <c r="L1160" s="560"/>
      <c r="M1160" s="560"/>
    </row>
    <row r="1161" spans="3:13" s="338" customFormat="1">
      <c r="C1161" s="558"/>
      <c r="D1161" s="559"/>
      <c r="E1161" s="559"/>
      <c r="F1161" s="559"/>
      <c r="G1161" s="558"/>
      <c r="H1161" s="559"/>
      <c r="I1161" s="559"/>
      <c r="J1161" s="559"/>
      <c r="K1161" s="560"/>
      <c r="L1161" s="560"/>
      <c r="M1161" s="560"/>
    </row>
    <row r="1162" spans="3:13" s="338" customFormat="1">
      <c r="C1162" s="558"/>
      <c r="D1162" s="559"/>
      <c r="E1162" s="559"/>
      <c r="F1162" s="559"/>
      <c r="G1162" s="558"/>
      <c r="H1162" s="559"/>
      <c r="I1162" s="559"/>
      <c r="J1162" s="559"/>
      <c r="K1162" s="560"/>
      <c r="L1162" s="560"/>
      <c r="M1162" s="560"/>
    </row>
    <row r="1163" spans="3:13" s="338" customFormat="1">
      <c r="C1163" s="558"/>
      <c r="D1163" s="559"/>
      <c r="E1163" s="559"/>
      <c r="F1163" s="559"/>
      <c r="G1163" s="558"/>
      <c r="H1163" s="559"/>
      <c r="I1163" s="559"/>
      <c r="J1163" s="559"/>
      <c r="K1163" s="560"/>
      <c r="L1163" s="560"/>
      <c r="M1163" s="560"/>
    </row>
    <row r="1164" spans="3:13" s="338" customFormat="1">
      <c r="C1164" s="558"/>
      <c r="D1164" s="559"/>
      <c r="E1164" s="559"/>
      <c r="F1164" s="559"/>
      <c r="G1164" s="558"/>
      <c r="H1164" s="559"/>
      <c r="I1164" s="559"/>
      <c r="J1164" s="559"/>
      <c r="K1164" s="560"/>
      <c r="L1164" s="560"/>
      <c r="M1164" s="560"/>
    </row>
    <row r="1165" spans="3:13" s="338" customFormat="1">
      <c r="C1165" s="558"/>
      <c r="D1165" s="559"/>
      <c r="E1165" s="559"/>
      <c r="F1165" s="559"/>
      <c r="G1165" s="558"/>
      <c r="H1165" s="559"/>
      <c r="I1165" s="559"/>
      <c r="J1165" s="559"/>
      <c r="K1165" s="560"/>
      <c r="L1165" s="560"/>
      <c r="M1165" s="560"/>
    </row>
    <row r="1166" spans="3:13" s="338" customFormat="1">
      <c r="C1166" s="558"/>
      <c r="D1166" s="559"/>
      <c r="E1166" s="559"/>
      <c r="F1166" s="559"/>
      <c r="G1166" s="558"/>
      <c r="H1166" s="559"/>
      <c r="I1166" s="559"/>
      <c r="J1166" s="559"/>
      <c r="K1166" s="560"/>
      <c r="L1166" s="560"/>
      <c r="M1166" s="560"/>
    </row>
    <row r="1167" spans="3:13" s="338" customFormat="1">
      <c r="C1167" s="558"/>
      <c r="D1167" s="559"/>
      <c r="E1167" s="559"/>
      <c r="F1167" s="559"/>
      <c r="G1167" s="558"/>
      <c r="H1167" s="559"/>
      <c r="I1167" s="559"/>
      <c r="J1167" s="559"/>
      <c r="K1167" s="560"/>
      <c r="L1167" s="560"/>
      <c r="M1167" s="560"/>
    </row>
    <row r="1168" spans="3:13" s="338" customFormat="1">
      <c r="C1168" s="558"/>
      <c r="D1168" s="559"/>
      <c r="E1168" s="559"/>
      <c r="F1168" s="559"/>
      <c r="G1168" s="558"/>
      <c r="H1168" s="559"/>
      <c r="I1168" s="559"/>
      <c r="J1168" s="559"/>
      <c r="K1168" s="560"/>
      <c r="L1168" s="560"/>
      <c r="M1168" s="560"/>
    </row>
    <row r="1169" spans="3:13" s="338" customFormat="1">
      <c r="C1169" s="558"/>
      <c r="D1169" s="559"/>
      <c r="E1169" s="559"/>
      <c r="F1169" s="559"/>
      <c r="G1169" s="558"/>
      <c r="H1169" s="559"/>
      <c r="I1169" s="559"/>
      <c r="J1169" s="559"/>
      <c r="K1169" s="560"/>
      <c r="L1169" s="560"/>
      <c r="M1169" s="560"/>
    </row>
    <row r="1170" spans="3:13" s="338" customFormat="1">
      <c r="C1170" s="558"/>
      <c r="D1170" s="559"/>
      <c r="E1170" s="559"/>
      <c r="F1170" s="559"/>
      <c r="G1170" s="558"/>
      <c r="H1170" s="559"/>
      <c r="I1170" s="559"/>
      <c r="J1170" s="559"/>
      <c r="K1170" s="560"/>
      <c r="L1170" s="560"/>
      <c r="M1170" s="560"/>
    </row>
    <row r="1171" spans="3:13" s="338" customFormat="1">
      <c r="C1171" s="558"/>
      <c r="D1171" s="559"/>
      <c r="E1171" s="559"/>
      <c r="F1171" s="559"/>
      <c r="G1171" s="558"/>
      <c r="H1171" s="559"/>
      <c r="I1171" s="559"/>
      <c r="J1171" s="559"/>
      <c r="K1171" s="560"/>
      <c r="L1171" s="560"/>
      <c r="M1171" s="560"/>
    </row>
    <row r="1172" spans="3:13" s="338" customFormat="1">
      <c r="C1172" s="558"/>
      <c r="D1172" s="559"/>
      <c r="E1172" s="559"/>
      <c r="F1172" s="559"/>
      <c r="G1172" s="558"/>
      <c r="H1172" s="559"/>
      <c r="I1172" s="559"/>
      <c r="J1172" s="559"/>
      <c r="K1172" s="560"/>
      <c r="L1172" s="560"/>
      <c r="M1172" s="560"/>
    </row>
    <row r="1173" spans="3:13" s="338" customFormat="1">
      <c r="C1173" s="558"/>
      <c r="D1173" s="559"/>
      <c r="E1173" s="559"/>
      <c r="F1173" s="559"/>
      <c r="G1173" s="558"/>
      <c r="H1173" s="559"/>
      <c r="I1173" s="559"/>
      <c r="J1173" s="559"/>
      <c r="K1173" s="560"/>
      <c r="L1173" s="560"/>
      <c r="M1173" s="560"/>
    </row>
    <row r="1174" spans="3:13" s="338" customFormat="1">
      <c r="C1174" s="558"/>
      <c r="D1174" s="559"/>
      <c r="E1174" s="559"/>
      <c r="F1174" s="559"/>
      <c r="G1174" s="558"/>
      <c r="H1174" s="559"/>
      <c r="I1174" s="559"/>
      <c r="J1174" s="559"/>
      <c r="K1174" s="560"/>
      <c r="L1174" s="560"/>
      <c r="M1174" s="560"/>
    </row>
    <row r="1175" spans="3:13" s="338" customFormat="1">
      <c r="C1175" s="558"/>
      <c r="D1175" s="559"/>
      <c r="E1175" s="559"/>
      <c r="F1175" s="559"/>
      <c r="G1175" s="558"/>
      <c r="H1175" s="559"/>
      <c r="I1175" s="559"/>
      <c r="J1175" s="559"/>
      <c r="K1175" s="560"/>
      <c r="L1175" s="560"/>
      <c r="M1175" s="560"/>
    </row>
    <row r="1176" spans="3:13" s="338" customFormat="1">
      <c r="C1176" s="558"/>
      <c r="D1176" s="559"/>
      <c r="E1176" s="559"/>
      <c r="F1176" s="559"/>
      <c r="G1176" s="558"/>
      <c r="H1176" s="559"/>
      <c r="I1176" s="559"/>
      <c r="J1176" s="559"/>
      <c r="K1176" s="560"/>
      <c r="L1176" s="560"/>
      <c r="M1176" s="560"/>
    </row>
    <row r="1177" spans="3:13" s="338" customFormat="1">
      <c r="C1177" s="558"/>
      <c r="D1177" s="559"/>
      <c r="E1177" s="559"/>
      <c r="F1177" s="559"/>
      <c r="G1177" s="558"/>
      <c r="H1177" s="559"/>
      <c r="I1177" s="559"/>
      <c r="J1177" s="559"/>
      <c r="K1177" s="560"/>
      <c r="L1177" s="560"/>
      <c r="M1177" s="560"/>
    </row>
    <row r="1178" spans="3:13" s="338" customFormat="1">
      <c r="C1178" s="558"/>
      <c r="D1178" s="559"/>
      <c r="E1178" s="559"/>
      <c r="F1178" s="559"/>
      <c r="G1178" s="558"/>
      <c r="H1178" s="559"/>
      <c r="I1178" s="559"/>
      <c r="J1178" s="559"/>
      <c r="K1178" s="560"/>
      <c r="L1178" s="560"/>
      <c r="M1178" s="560"/>
    </row>
    <row r="1179" spans="3:13" s="338" customFormat="1">
      <c r="C1179" s="558"/>
      <c r="D1179" s="559"/>
      <c r="E1179" s="559"/>
      <c r="F1179" s="559"/>
      <c r="G1179" s="558"/>
      <c r="H1179" s="559"/>
      <c r="I1179" s="559"/>
      <c r="J1179" s="559"/>
      <c r="K1179" s="560"/>
      <c r="L1179" s="560"/>
      <c r="M1179" s="560"/>
    </row>
    <row r="1180" spans="3:13" s="338" customFormat="1">
      <c r="C1180" s="558"/>
      <c r="D1180" s="559"/>
      <c r="E1180" s="559"/>
      <c r="F1180" s="559"/>
      <c r="G1180" s="558"/>
      <c r="H1180" s="559"/>
      <c r="I1180" s="559"/>
      <c r="J1180" s="559"/>
      <c r="K1180" s="560"/>
      <c r="L1180" s="560"/>
      <c r="M1180" s="560"/>
    </row>
    <row r="1181" spans="3:13" s="338" customFormat="1">
      <c r="C1181" s="558"/>
      <c r="D1181" s="559"/>
      <c r="E1181" s="559"/>
      <c r="F1181" s="559"/>
      <c r="G1181" s="558"/>
      <c r="H1181" s="559"/>
      <c r="I1181" s="559"/>
      <c r="J1181" s="559"/>
      <c r="K1181" s="560"/>
      <c r="L1181" s="560"/>
      <c r="M1181" s="560"/>
    </row>
    <row r="1182" spans="3:13" s="338" customFormat="1">
      <c r="C1182" s="558"/>
      <c r="D1182" s="559"/>
      <c r="E1182" s="559"/>
      <c r="F1182" s="559"/>
      <c r="G1182" s="558"/>
      <c r="H1182" s="559"/>
      <c r="I1182" s="559"/>
      <c r="J1182" s="559"/>
      <c r="K1182" s="560"/>
      <c r="L1182" s="560"/>
      <c r="M1182" s="560"/>
    </row>
    <row r="1183" spans="3:13" s="338" customFormat="1">
      <c r="C1183" s="558"/>
      <c r="D1183" s="559"/>
      <c r="E1183" s="559"/>
      <c r="F1183" s="559"/>
      <c r="G1183" s="558"/>
      <c r="H1183" s="559"/>
      <c r="I1183" s="559"/>
      <c r="J1183" s="559"/>
      <c r="K1183" s="560"/>
      <c r="L1183" s="560"/>
      <c r="M1183" s="560"/>
    </row>
    <row r="1184" spans="3:13" s="338" customFormat="1">
      <c r="C1184" s="558"/>
      <c r="D1184" s="559"/>
      <c r="E1184" s="559"/>
      <c r="F1184" s="559"/>
      <c r="G1184" s="558"/>
      <c r="H1184" s="559"/>
      <c r="I1184" s="559"/>
      <c r="J1184" s="559"/>
      <c r="K1184" s="560"/>
      <c r="L1184" s="560"/>
      <c r="M1184" s="560"/>
    </row>
    <row r="1185" spans="3:13" s="338" customFormat="1">
      <c r="C1185" s="558"/>
      <c r="D1185" s="559"/>
      <c r="E1185" s="559"/>
      <c r="F1185" s="559"/>
      <c r="G1185" s="558"/>
      <c r="H1185" s="559"/>
      <c r="I1185" s="559"/>
      <c r="J1185" s="559"/>
      <c r="K1185" s="560"/>
      <c r="L1185" s="560"/>
      <c r="M1185" s="560"/>
    </row>
    <row r="1186" spans="3:13" s="338" customFormat="1">
      <c r="C1186" s="558"/>
      <c r="D1186" s="559"/>
      <c r="E1186" s="559"/>
      <c r="F1186" s="559"/>
      <c r="G1186" s="558"/>
      <c r="H1186" s="559"/>
      <c r="I1186" s="559"/>
      <c r="J1186" s="559"/>
      <c r="K1186" s="560"/>
      <c r="L1186" s="560"/>
      <c r="M1186" s="560"/>
    </row>
    <row r="1187" spans="3:13" s="338" customFormat="1">
      <c r="C1187" s="558"/>
      <c r="D1187" s="559"/>
      <c r="E1187" s="559"/>
      <c r="F1187" s="559"/>
      <c r="G1187" s="558"/>
      <c r="H1187" s="559"/>
      <c r="I1187" s="559"/>
      <c r="J1187" s="559"/>
      <c r="K1187" s="560"/>
      <c r="L1187" s="560"/>
      <c r="M1187" s="560"/>
    </row>
    <row r="1188" spans="3:13" s="338" customFormat="1">
      <c r="C1188" s="558"/>
      <c r="D1188" s="559"/>
      <c r="E1188" s="559"/>
      <c r="F1188" s="559"/>
      <c r="G1188" s="558"/>
      <c r="H1188" s="559"/>
      <c r="I1188" s="559"/>
      <c r="J1188" s="559"/>
      <c r="K1188" s="560"/>
      <c r="L1188" s="560"/>
      <c r="M1188" s="560"/>
    </row>
    <row r="1189" spans="3:13" s="338" customFormat="1">
      <c r="C1189" s="558"/>
      <c r="D1189" s="559"/>
      <c r="E1189" s="559"/>
      <c r="F1189" s="559"/>
      <c r="G1189" s="558"/>
      <c r="H1189" s="559"/>
      <c r="I1189" s="559"/>
      <c r="J1189" s="559"/>
      <c r="K1189" s="560"/>
      <c r="L1189" s="560"/>
      <c r="M1189" s="560"/>
    </row>
    <row r="1190" spans="3:13" s="338" customFormat="1">
      <c r="C1190" s="558"/>
      <c r="D1190" s="559"/>
      <c r="E1190" s="559"/>
      <c r="F1190" s="559"/>
      <c r="G1190" s="558"/>
      <c r="H1190" s="559"/>
      <c r="I1190" s="559"/>
      <c r="J1190" s="559"/>
      <c r="K1190" s="560"/>
      <c r="L1190" s="560"/>
      <c r="M1190" s="560"/>
    </row>
    <row r="1191" spans="3:13" s="338" customFormat="1">
      <c r="C1191" s="558"/>
      <c r="D1191" s="559"/>
      <c r="E1191" s="559"/>
      <c r="F1191" s="559"/>
      <c r="G1191" s="558"/>
      <c r="H1191" s="559"/>
      <c r="I1191" s="559"/>
      <c r="J1191" s="559"/>
      <c r="K1191" s="560"/>
      <c r="L1191" s="560"/>
      <c r="M1191" s="560"/>
    </row>
    <row r="1192" spans="3:13" s="338" customFormat="1">
      <c r="C1192" s="558"/>
      <c r="D1192" s="559"/>
      <c r="E1192" s="559"/>
      <c r="F1192" s="559"/>
      <c r="G1192" s="558"/>
      <c r="H1192" s="559"/>
      <c r="I1192" s="559"/>
      <c r="J1192" s="559"/>
      <c r="K1192" s="560"/>
      <c r="L1192" s="560"/>
      <c r="M1192" s="560"/>
    </row>
    <row r="1193" spans="3:13" s="338" customFormat="1">
      <c r="C1193" s="558"/>
      <c r="D1193" s="559"/>
      <c r="E1193" s="559"/>
      <c r="F1193" s="559"/>
      <c r="G1193" s="558"/>
      <c r="H1193" s="559"/>
      <c r="I1193" s="559"/>
      <c r="J1193" s="559"/>
      <c r="K1193" s="560"/>
      <c r="L1193" s="560"/>
      <c r="M1193" s="560"/>
    </row>
    <row r="1194" spans="3:13" s="338" customFormat="1">
      <c r="C1194" s="558"/>
      <c r="D1194" s="559"/>
      <c r="E1194" s="559"/>
      <c r="F1194" s="559"/>
      <c r="G1194" s="558"/>
      <c r="H1194" s="559"/>
      <c r="I1194" s="559"/>
      <c r="J1194" s="559"/>
      <c r="K1194" s="560"/>
      <c r="L1194" s="560"/>
      <c r="M1194" s="560"/>
    </row>
    <row r="1195" spans="3:13" s="338" customFormat="1">
      <c r="C1195" s="558"/>
      <c r="D1195" s="559"/>
      <c r="E1195" s="559"/>
      <c r="F1195" s="559"/>
      <c r="G1195" s="558"/>
      <c r="H1195" s="559"/>
      <c r="I1195" s="559"/>
      <c r="J1195" s="559"/>
      <c r="K1195" s="560"/>
      <c r="L1195" s="560"/>
      <c r="M1195" s="560"/>
    </row>
    <row r="1196" spans="3:13" s="338" customFormat="1">
      <c r="C1196" s="558"/>
      <c r="D1196" s="559"/>
      <c r="E1196" s="559"/>
      <c r="F1196" s="559"/>
      <c r="G1196" s="558"/>
      <c r="H1196" s="559"/>
      <c r="I1196" s="559"/>
      <c r="J1196" s="559"/>
      <c r="K1196" s="560"/>
      <c r="L1196" s="560"/>
      <c r="M1196" s="560"/>
    </row>
    <row r="1197" spans="3:13" s="338" customFormat="1">
      <c r="C1197" s="558"/>
      <c r="D1197" s="559"/>
      <c r="E1197" s="559"/>
      <c r="F1197" s="559"/>
      <c r="G1197" s="558"/>
      <c r="H1197" s="559"/>
      <c r="I1197" s="559"/>
      <c r="J1197" s="559"/>
      <c r="K1197" s="560"/>
      <c r="L1197" s="560"/>
      <c r="M1197" s="560"/>
    </row>
    <row r="1198" spans="3:13" s="338" customFormat="1">
      <c r="C1198" s="558"/>
      <c r="D1198" s="559"/>
      <c r="E1198" s="559"/>
      <c r="F1198" s="559"/>
      <c r="G1198" s="558"/>
      <c r="H1198" s="559"/>
      <c r="I1198" s="559"/>
      <c r="J1198" s="559"/>
      <c r="K1198" s="560"/>
      <c r="L1198" s="560"/>
      <c r="M1198" s="560"/>
    </row>
    <row r="1199" spans="3:13" s="338" customFormat="1">
      <c r="C1199" s="558"/>
      <c r="D1199" s="559"/>
      <c r="E1199" s="559"/>
      <c r="F1199" s="559"/>
      <c r="G1199" s="558"/>
      <c r="H1199" s="559"/>
      <c r="I1199" s="559"/>
      <c r="J1199" s="559"/>
      <c r="K1199" s="560"/>
      <c r="L1199" s="560"/>
      <c r="M1199" s="560"/>
    </row>
    <row r="1200" spans="3:13" s="338" customFormat="1">
      <c r="C1200" s="558"/>
      <c r="D1200" s="559"/>
      <c r="E1200" s="559"/>
      <c r="F1200" s="559"/>
      <c r="G1200" s="558"/>
      <c r="H1200" s="559"/>
      <c r="I1200" s="559"/>
      <c r="J1200" s="559"/>
      <c r="K1200" s="560"/>
      <c r="L1200" s="560"/>
      <c r="M1200" s="560"/>
    </row>
    <row r="1201" spans="3:13" s="338" customFormat="1">
      <c r="C1201" s="558"/>
      <c r="D1201" s="559"/>
      <c r="E1201" s="559"/>
      <c r="F1201" s="559"/>
      <c r="G1201" s="558"/>
      <c r="H1201" s="559"/>
      <c r="I1201" s="559"/>
      <c r="J1201" s="559"/>
      <c r="K1201" s="560"/>
      <c r="L1201" s="560"/>
      <c r="M1201" s="560"/>
    </row>
    <row r="1202" spans="3:13" s="338" customFormat="1">
      <c r="C1202" s="558"/>
      <c r="D1202" s="559"/>
      <c r="E1202" s="559"/>
      <c r="F1202" s="559"/>
      <c r="G1202" s="558"/>
      <c r="H1202" s="559"/>
      <c r="I1202" s="559"/>
      <c r="J1202" s="559"/>
      <c r="K1202" s="560"/>
      <c r="L1202" s="560"/>
      <c r="M1202" s="560"/>
    </row>
    <row r="1203" spans="3:13" s="338" customFormat="1">
      <c r="C1203" s="558"/>
      <c r="D1203" s="559"/>
      <c r="E1203" s="559"/>
      <c r="F1203" s="559"/>
      <c r="G1203" s="558"/>
      <c r="H1203" s="559"/>
      <c r="I1203" s="559"/>
      <c r="J1203" s="559"/>
      <c r="K1203" s="560"/>
      <c r="L1203" s="560"/>
      <c r="M1203" s="560"/>
    </row>
    <row r="1204" spans="3:13" s="338" customFormat="1">
      <c r="C1204" s="558"/>
      <c r="D1204" s="559"/>
      <c r="E1204" s="559"/>
      <c r="F1204" s="559"/>
      <c r="G1204" s="558"/>
      <c r="H1204" s="559"/>
      <c r="I1204" s="559"/>
      <c r="J1204" s="559"/>
      <c r="K1204" s="560"/>
      <c r="L1204" s="560"/>
      <c r="M1204" s="560"/>
    </row>
    <row r="1205" spans="3:13" s="338" customFormat="1">
      <c r="C1205" s="558"/>
      <c r="D1205" s="559"/>
      <c r="E1205" s="559"/>
      <c r="F1205" s="559"/>
      <c r="G1205" s="558"/>
      <c r="H1205" s="559"/>
      <c r="I1205" s="559"/>
      <c r="J1205" s="559"/>
      <c r="K1205" s="560"/>
      <c r="L1205" s="560"/>
      <c r="M1205" s="560"/>
    </row>
    <row r="1206" spans="3:13" s="338" customFormat="1">
      <c r="C1206" s="558"/>
      <c r="D1206" s="559"/>
      <c r="E1206" s="559"/>
      <c r="F1206" s="559"/>
      <c r="G1206" s="558"/>
      <c r="H1206" s="559"/>
      <c r="I1206" s="559"/>
      <c r="J1206" s="559"/>
      <c r="K1206" s="560"/>
      <c r="L1206" s="560"/>
      <c r="M1206" s="560"/>
    </row>
    <row r="1207" spans="3:13" s="338" customFormat="1">
      <c r="C1207" s="558"/>
      <c r="D1207" s="559"/>
      <c r="E1207" s="559"/>
      <c r="F1207" s="559"/>
      <c r="G1207" s="558"/>
      <c r="H1207" s="559"/>
      <c r="I1207" s="559"/>
      <c r="J1207" s="559"/>
      <c r="K1207" s="560"/>
      <c r="L1207" s="560"/>
      <c r="M1207" s="560"/>
    </row>
    <row r="1208" spans="3:13" s="338" customFormat="1">
      <c r="C1208" s="558"/>
      <c r="D1208" s="559"/>
      <c r="E1208" s="559"/>
      <c r="F1208" s="559"/>
      <c r="G1208" s="558"/>
      <c r="H1208" s="559"/>
      <c r="I1208" s="559"/>
      <c r="J1208" s="559"/>
      <c r="K1208" s="560"/>
      <c r="L1208" s="560"/>
      <c r="M1208" s="560"/>
    </row>
    <row r="1209" spans="3:13" s="338" customFormat="1">
      <c r="C1209" s="558"/>
      <c r="D1209" s="559"/>
      <c r="E1209" s="559"/>
      <c r="F1209" s="559"/>
      <c r="G1209" s="558"/>
      <c r="H1209" s="559"/>
      <c r="I1209" s="559"/>
      <c r="J1209" s="559"/>
      <c r="K1209" s="560"/>
      <c r="L1209" s="560"/>
      <c r="M1209" s="560"/>
    </row>
    <row r="1210" spans="3:13" s="338" customFormat="1">
      <c r="C1210" s="558"/>
      <c r="D1210" s="559"/>
      <c r="E1210" s="559"/>
      <c r="F1210" s="559"/>
      <c r="G1210" s="558"/>
      <c r="H1210" s="559"/>
      <c r="I1210" s="559"/>
      <c r="J1210" s="559"/>
      <c r="K1210" s="560"/>
      <c r="L1210" s="560"/>
      <c r="M1210" s="560"/>
    </row>
    <row r="1211" spans="3:13" s="338" customFormat="1">
      <c r="C1211" s="558"/>
      <c r="D1211" s="559"/>
      <c r="E1211" s="559"/>
      <c r="F1211" s="559"/>
      <c r="G1211" s="558"/>
      <c r="H1211" s="559"/>
      <c r="I1211" s="559"/>
      <c r="J1211" s="559"/>
      <c r="K1211" s="560"/>
      <c r="L1211" s="560"/>
      <c r="M1211" s="560"/>
    </row>
    <row r="1212" spans="3:13" s="338" customFormat="1">
      <c r="C1212" s="558"/>
      <c r="D1212" s="559"/>
      <c r="E1212" s="559"/>
      <c r="F1212" s="559"/>
      <c r="G1212" s="558"/>
      <c r="H1212" s="559"/>
      <c r="I1212" s="559"/>
      <c r="J1212" s="559"/>
      <c r="K1212" s="560"/>
      <c r="L1212" s="560"/>
      <c r="M1212" s="560"/>
    </row>
    <row r="1213" spans="3:13" s="338" customFormat="1">
      <c r="C1213" s="558"/>
      <c r="D1213" s="559"/>
      <c r="E1213" s="559"/>
      <c r="F1213" s="559"/>
      <c r="G1213" s="558"/>
      <c r="H1213" s="559"/>
      <c r="I1213" s="559"/>
      <c r="J1213" s="559"/>
      <c r="K1213" s="560"/>
      <c r="L1213" s="560"/>
      <c r="M1213" s="560"/>
    </row>
    <row r="1214" spans="3:13" s="338" customFormat="1">
      <c r="C1214" s="558"/>
      <c r="D1214" s="559"/>
      <c r="E1214" s="559"/>
      <c r="F1214" s="559"/>
      <c r="G1214" s="558"/>
      <c r="H1214" s="559"/>
      <c r="I1214" s="559"/>
      <c r="J1214" s="559"/>
      <c r="K1214" s="560"/>
      <c r="L1214" s="560"/>
      <c r="M1214" s="560"/>
    </row>
    <row r="1215" spans="3:13" s="338" customFormat="1">
      <c r="C1215" s="558"/>
      <c r="D1215" s="559"/>
      <c r="E1215" s="559"/>
      <c r="F1215" s="559"/>
      <c r="G1215" s="558"/>
      <c r="H1215" s="559"/>
      <c r="I1215" s="559"/>
      <c r="J1215" s="559"/>
      <c r="K1215" s="560"/>
      <c r="L1215" s="560"/>
      <c r="M1215" s="560"/>
    </row>
    <row r="1216" spans="3:13" s="338" customFormat="1">
      <c r="C1216" s="558"/>
      <c r="D1216" s="559"/>
      <c r="E1216" s="559"/>
      <c r="F1216" s="559"/>
      <c r="G1216" s="558"/>
      <c r="H1216" s="559"/>
      <c r="I1216" s="559"/>
      <c r="J1216" s="559"/>
      <c r="K1216" s="560"/>
      <c r="L1216" s="560"/>
      <c r="M1216" s="560"/>
    </row>
    <row r="1217" spans="3:13" s="338" customFormat="1">
      <c r="C1217" s="558"/>
      <c r="D1217" s="559"/>
      <c r="E1217" s="559"/>
      <c r="F1217" s="559"/>
      <c r="G1217" s="558"/>
      <c r="H1217" s="559"/>
      <c r="I1217" s="559"/>
      <c r="J1217" s="559"/>
      <c r="K1217" s="560"/>
      <c r="L1217" s="560"/>
      <c r="M1217" s="560"/>
    </row>
    <row r="1218" spans="3:13" s="338" customFormat="1">
      <c r="C1218" s="558"/>
      <c r="D1218" s="559"/>
      <c r="E1218" s="559"/>
      <c r="F1218" s="559"/>
      <c r="G1218" s="558"/>
      <c r="H1218" s="559"/>
      <c r="I1218" s="559"/>
      <c r="J1218" s="559"/>
      <c r="K1218" s="560"/>
      <c r="L1218" s="560"/>
      <c r="M1218" s="560"/>
    </row>
    <row r="1219" spans="3:13" s="338" customFormat="1">
      <c r="C1219" s="558"/>
      <c r="D1219" s="559"/>
      <c r="E1219" s="559"/>
      <c r="F1219" s="559"/>
      <c r="G1219" s="558"/>
      <c r="H1219" s="559"/>
      <c r="I1219" s="559"/>
      <c r="J1219" s="559"/>
      <c r="K1219" s="560"/>
      <c r="L1219" s="560"/>
      <c r="M1219" s="560"/>
    </row>
    <row r="1220" spans="3:13" s="338" customFormat="1">
      <c r="C1220" s="558"/>
      <c r="D1220" s="559"/>
      <c r="E1220" s="559"/>
      <c r="F1220" s="559"/>
      <c r="G1220" s="558"/>
      <c r="H1220" s="559"/>
      <c r="I1220" s="559"/>
      <c r="J1220" s="559"/>
      <c r="K1220" s="560"/>
      <c r="L1220" s="560"/>
      <c r="M1220" s="560"/>
    </row>
    <row r="1221" spans="3:13" s="338" customFormat="1">
      <c r="C1221" s="558"/>
      <c r="D1221" s="559"/>
      <c r="E1221" s="559"/>
      <c r="F1221" s="559"/>
      <c r="G1221" s="558"/>
      <c r="H1221" s="559"/>
      <c r="I1221" s="559"/>
      <c r="J1221" s="559"/>
      <c r="K1221" s="560"/>
      <c r="L1221" s="560"/>
      <c r="M1221" s="560"/>
    </row>
    <row r="1222" spans="3:13" s="338" customFormat="1">
      <c r="C1222" s="558"/>
      <c r="D1222" s="559"/>
      <c r="E1222" s="559"/>
      <c r="F1222" s="559"/>
      <c r="G1222" s="558"/>
      <c r="H1222" s="559"/>
      <c r="I1222" s="559"/>
      <c r="J1222" s="559"/>
      <c r="K1222" s="560"/>
      <c r="L1222" s="560"/>
      <c r="M1222" s="560"/>
    </row>
    <row r="1223" spans="3:13" s="338" customFormat="1">
      <c r="C1223" s="558"/>
      <c r="D1223" s="559"/>
      <c r="E1223" s="559"/>
      <c r="F1223" s="559"/>
      <c r="G1223" s="558"/>
      <c r="H1223" s="559"/>
      <c r="I1223" s="559"/>
      <c r="J1223" s="559"/>
      <c r="K1223" s="560"/>
      <c r="L1223" s="560"/>
      <c r="M1223" s="560"/>
    </row>
    <row r="1224" spans="3:13" s="338" customFormat="1">
      <c r="C1224" s="558"/>
      <c r="D1224" s="559"/>
      <c r="E1224" s="559"/>
      <c r="F1224" s="559"/>
      <c r="G1224" s="558"/>
      <c r="H1224" s="559"/>
      <c r="I1224" s="559"/>
      <c r="J1224" s="559"/>
      <c r="K1224" s="560"/>
      <c r="L1224" s="560"/>
      <c r="M1224" s="560"/>
    </row>
    <row r="1225" spans="3:13" s="338" customFormat="1">
      <c r="C1225" s="558"/>
      <c r="D1225" s="559"/>
      <c r="E1225" s="559"/>
      <c r="F1225" s="559"/>
      <c r="G1225" s="558"/>
      <c r="H1225" s="559"/>
      <c r="I1225" s="559"/>
      <c r="J1225" s="559"/>
      <c r="K1225" s="560"/>
      <c r="L1225" s="560"/>
      <c r="M1225" s="560"/>
    </row>
    <row r="1226" spans="3:13" s="338" customFormat="1">
      <c r="C1226" s="558"/>
      <c r="D1226" s="559"/>
      <c r="E1226" s="559"/>
      <c r="F1226" s="559"/>
      <c r="G1226" s="558"/>
      <c r="H1226" s="559"/>
      <c r="I1226" s="559"/>
      <c r="J1226" s="559"/>
      <c r="K1226" s="560"/>
      <c r="L1226" s="560"/>
      <c r="M1226" s="560"/>
    </row>
    <row r="1227" spans="3:13" s="338" customFormat="1">
      <c r="C1227" s="558"/>
      <c r="D1227" s="559"/>
      <c r="E1227" s="559"/>
      <c r="F1227" s="559"/>
      <c r="G1227" s="558"/>
      <c r="H1227" s="559"/>
      <c r="I1227" s="559"/>
      <c r="J1227" s="559"/>
      <c r="K1227" s="560"/>
      <c r="L1227" s="560"/>
      <c r="M1227" s="560"/>
    </row>
    <row r="1228" spans="3:13" s="338" customFormat="1">
      <c r="C1228" s="558"/>
      <c r="D1228" s="559"/>
      <c r="E1228" s="559"/>
      <c r="F1228" s="559"/>
      <c r="G1228" s="558"/>
      <c r="H1228" s="559"/>
      <c r="I1228" s="559"/>
      <c r="J1228" s="559"/>
      <c r="K1228" s="560"/>
      <c r="L1228" s="560"/>
      <c r="M1228" s="560"/>
    </row>
    <row r="1229" spans="3:13" s="338" customFormat="1">
      <c r="C1229" s="558"/>
      <c r="D1229" s="559"/>
      <c r="E1229" s="559"/>
      <c r="F1229" s="559"/>
      <c r="G1229" s="558"/>
      <c r="H1229" s="559"/>
      <c r="I1229" s="559"/>
      <c r="J1229" s="559"/>
      <c r="K1229" s="560"/>
      <c r="L1229" s="560"/>
      <c r="M1229" s="560"/>
    </row>
    <row r="1230" spans="3:13" s="338" customFormat="1">
      <c r="C1230" s="558"/>
      <c r="D1230" s="559"/>
      <c r="E1230" s="559"/>
      <c r="F1230" s="559"/>
      <c r="G1230" s="558"/>
      <c r="H1230" s="559"/>
      <c r="I1230" s="559"/>
      <c r="J1230" s="559"/>
      <c r="K1230" s="560"/>
      <c r="L1230" s="560"/>
      <c r="M1230" s="560"/>
    </row>
    <row r="1231" spans="3:13" s="338" customFormat="1">
      <c r="C1231" s="558"/>
      <c r="D1231" s="559"/>
      <c r="E1231" s="559"/>
      <c r="F1231" s="559"/>
      <c r="G1231" s="558"/>
      <c r="H1231" s="559"/>
      <c r="I1231" s="559"/>
      <c r="J1231" s="559"/>
      <c r="K1231" s="560"/>
      <c r="L1231" s="560"/>
      <c r="M1231" s="560"/>
    </row>
    <row r="1232" spans="3:13" s="338" customFormat="1">
      <c r="C1232" s="558"/>
      <c r="D1232" s="559"/>
      <c r="E1232" s="559"/>
      <c r="F1232" s="559"/>
      <c r="G1232" s="558"/>
      <c r="H1232" s="559"/>
      <c r="I1232" s="559"/>
      <c r="J1232" s="559"/>
      <c r="K1232" s="560"/>
      <c r="L1232" s="560"/>
      <c r="M1232" s="560"/>
    </row>
    <row r="1233" spans="3:13" s="338" customFormat="1">
      <c r="C1233" s="558"/>
      <c r="D1233" s="559"/>
      <c r="E1233" s="559"/>
      <c r="F1233" s="559"/>
      <c r="G1233" s="558"/>
      <c r="H1233" s="559"/>
      <c r="I1233" s="559"/>
      <c r="J1233" s="559"/>
      <c r="K1233" s="560"/>
      <c r="L1233" s="560"/>
      <c r="M1233" s="560"/>
    </row>
    <row r="1234" spans="3:13" s="338" customFormat="1">
      <c r="C1234" s="558"/>
      <c r="D1234" s="559"/>
      <c r="E1234" s="559"/>
      <c r="F1234" s="559"/>
      <c r="G1234" s="558"/>
      <c r="H1234" s="559"/>
      <c r="I1234" s="559"/>
      <c r="J1234" s="559"/>
      <c r="K1234" s="560"/>
      <c r="L1234" s="560"/>
      <c r="M1234" s="560"/>
    </row>
    <row r="1235" spans="3:13" s="338" customFormat="1">
      <c r="C1235" s="558"/>
      <c r="D1235" s="559"/>
      <c r="E1235" s="559"/>
      <c r="F1235" s="559"/>
      <c r="G1235" s="558"/>
      <c r="H1235" s="559"/>
      <c r="I1235" s="559"/>
      <c r="J1235" s="559"/>
      <c r="K1235" s="560"/>
      <c r="L1235" s="560"/>
      <c r="M1235" s="560"/>
    </row>
    <row r="1236" spans="3:13" s="338" customFormat="1">
      <c r="C1236" s="558"/>
      <c r="D1236" s="559"/>
      <c r="E1236" s="559"/>
      <c r="F1236" s="559"/>
      <c r="G1236" s="558"/>
      <c r="H1236" s="559"/>
      <c r="I1236" s="559"/>
      <c r="J1236" s="559"/>
      <c r="K1236" s="560"/>
      <c r="L1236" s="560"/>
      <c r="M1236" s="560"/>
    </row>
    <row r="1237" spans="3:13" s="338" customFormat="1">
      <c r="C1237" s="558"/>
      <c r="D1237" s="559"/>
      <c r="E1237" s="559"/>
      <c r="F1237" s="559"/>
      <c r="G1237" s="558"/>
      <c r="H1237" s="559"/>
      <c r="I1237" s="559"/>
      <c r="J1237" s="559"/>
      <c r="K1237" s="560"/>
      <c r="L1237" s="560"/>
      <c r="M1237" s="560"/>
    </row>
    <row r="1238" spans="3:13" s="338" customFormat="1">
      <c r="C1238" s="558"/>
      <c r="D1238" s="559"/>
      <c r="E1238" s="559"/>
      <c r="F1238" s="559"/>
      <c r="G1238" s="558"/>
      <c r="H1238" s="559"/>
      <c r="I1238" s="559"/>
      <c r="J1238" s="559"/>
      <c r="K1238" s="560"/>
      <c r="L1238" s="560"/>
      <c r="M1238" s="560"/>
    </row>
    <row r="1239" spans="3:13" s="338" customFormat="1">
      <c r="C1239" s="558"/>
      <c r="D1239" s="559"/>
      <c r="E1239" s="559"/>
      <c r="F1239" s="559"/>
      <c r="G1239" s="558"/>
      <c r="H1239" s="559"/>
      <c r="I1239" s="559"/>
      <c r="J1239" s="559"/>
      <c r="K1239" s="560"/>
      <c r="L1239" s="560"/>
      <c r="M1239" s="560"/>
    </row>
    <row r="1240" spans="3:13" s="338" customFormat="1">
      <c r="C1240" s="558"/>
      <c r="D1240" s="559"/>
      <c r="E1240" s="559"/>
      <c r="F1240" s="559"/>
      <c r="G1240" s="558"/>
      <c r="H1240" s="559"/>
      <c r="I1240" s="559"/>
      <c r="J1240" s="559"/>
      <c r="K1240" s="560"/>
      <c r="L1240" s="560"/>
      <c r="M1240" s="560"/>
    </row>
    <row r="1241" spans="3:13" s="338" customFormat="1">
      <c r="C1241" s="558"/>
      <c r="D1241" s="559"/>
      <c r="E1241" s="559"/>
      <c r="F1241" s="559"/>
      <c r="G1241" s="558"/>
      <c r="H1241" s="559"/>
      <c r="I1241" s="559"/>
      <c r="J1241" s="559"/>
      <c r="K1241" s="560"/>
      <c r="L1241" s="560"/>
      <c r="M1241" s="560"/>
    </row>
    <row r="1242" spans="3:13" s="338" customFormat="1">
      <c r="C1242" s="558"/>
      <c r="D1242" s="559"/>
      <c r="E1242" s="559"/>
      <c r="F1242" s="559"/>
      <c r="G1242" s="558"/>
      <c r="H1242" s="559"/>
      <c r="I1242" s="559"/>
      <c r="J1242" s="559"/>
      <c r="K1242" s="560"/>
      <c r="L1242" s="560"/>
      <c r="M1242" s="560"/>
    </row>
    <row r="1243" spans="3:13" s="338" customFormat="1">
      <c r="C1243" s="558"/>
      <c r="D1243" s="559"/>
      <c r="E1243" s="559"/>
      <c r="F1243" s="559"/>
      <c r="G1243" s="558"/>
      <c r="H1243" s="559"/>
      <c r="I1243" s="559"/>
      <c r="J1243" s="559"/>
      <c r="K1243" s="560"/>
      <c r="L1243" s="560"/>
      <c r="M1243" s="560"/>
    </row>
    <row r="1244" spans="3:13" s="338" customFormat="1">
      <c r="C1244" s="558"/>
      <c r="D1244" s="559"/>
      <c r="E1244" s="559"/>
      <c r="F1244" s="559"/>
      <c r="G1244" s="558"/>
      <c r="H1244" s="559"/>
      <c r="I1244" s="559"/>
      <c r="J1244" s="559"/>
      <c r="K1244" s="560"/>
      <c r="L1244" s="560"/>
      <c r="M1244" s="560"/>
    </row>
    <row r="1245" spans="3:13" s="338" customFormat="1">
      <c r="C1245" s="558"/>
      <c r="D1245" s="559"/>
      <c r="E1245" s="559"/>
      <c r="F1245" s="559"/>
      <c r="G1245" s="558"/>
      <c r="H1245" s="559"/>
      <c r="I1245" s="559"/>
      <c r="J1245" s="559"/>
      <c r="K1245" s="560"/>
      <c r="L1245" s="560"/>
      <c r="M1245" s="560"/>
    </row>
    <row r="1246" spans="3:13" s="338" customFormat="1">
      <c r="C1246" s="558"/>
      <c r="D1246" s="559"/>
      <c r="E1246" s="559"/>
      <c r="F1246" s="559"/>
      <c r="G1246" s="558"/>
      <c r="H1246" s="559"/>
      <c r="I1246" s="559"/>
      <c r="J1246" s="559"/>
      <c r="K1246" s="560"/>
      <c r="L1246" s="560"/>
      <c r="M1246" s="560"/>
    </row>
    <row r="1247" spans="3:13" s="338" customFormat="1">
      <c r="C1247" s="558"/>
      <c r="D1247" s="559"/>
      <c r="E1247" s="559"/>
      <c r="F1247" s="559"/>
      <c r="G1247" s="558"/>
      <c r="H1247" s="559"/>
      <c r="I1247" s="559"/>
      <c r="J1247" s="559"/>
      <c r="K1247" s="560"/>
      <c r="L1247" s="560"/>
      <c r="M1247" s="560"/>
    </row>
    <row r="1248" spans="3:13" s="338" customFormat="1">
      <c r="C1248" s="558"/>
      <c r="D1248" s="559"/>
      <c r="E1248" s="559"/>
      <c r="F1248" s="559"/>
      <c r="G1248" s="558"/>
      <c r="H1248" s="559"/>
      <c r="I1248" s="559"/>
      <c r="J1248" s="559"/>
      <c r="K1248" s="560"/>
      <c r="L1248" s="560"/>
      <c r="M1248" s="560"/>
    </row>
    <row r="1249" spans="3:13" s="338" customFormat="1">
      <c r="C1249" s="558"/>
      <c r="D1249" s="559"/>
      <c r="E1249" s="559"/>
      <c r="F1249" s="559"/>
      <c r="G1249" s="558"/>
      <c r="H1249" s="559"/>
      <c r="I1249" s="559"/>
      <c r="J1249" s="559"/>
      <c r="K1249" s="560"/>
      <c r="L1249" s="560"/>
      <c r="M1249" s="560"/>
    </row>
    <row r="1250" spans="3:13" s="338" customFormat="1">
      <c r="C1250" s="558"/>
      <c r="D1250" s="559"/>
      <c r="E1250" s="559"/>
      <c r="F1250" s="559"/>
      <c r="G1250" s="558"/>
      <c r="H1250" s="559"/>
      <c r="I1250" s="559"/>
      <c r="J1250" s="559"/>
      <c r="K1250" s="560"/>
      <c r="L1250" s="560"/>
      <c r="M1250" s="560"/>
    </row>
    <row r="1251" spans="3:13" s="338" customFormat="1">
      <c r="C1251" s="558"/>
      <c r="D1251" s="559"/>
      <c r="E1251" s="559"/>
      <c r="F1251" s="559"/>
      <c r="G1251" s="558"/>
      <c r="H1251" s="559"/>
      <c r="I1251" s="559"/>
      <c r="J1251" s="559"/>
      <c r="K1251" s="560"/>
      <c r="L1251" s="560"/>
      <c r="M1251" s="560"/>
    </row>
    <row r="1252" spans="3:13" s="338" customFormat="1">
      <c r="C1252" s="558"/>
      <c r="D1252" s="559"/>
      <c r="E1252" s="559"/>
      <c r="F1252" s="559"/>
      <c r="G1252" s="558"/>
      <c r="H1252" s="559"/>
      <c r="I1252" s="559"/>
      <c r="J1252" s="559"/>
      <c r="K1252" s="560"/>
      <c r="L1252" s="560"/>
      <c r="M1252" s="560"/>
    </row>
    <row r="1253" spans="3:13" s="338" customFormat="1">
      <c r="C1253" s="558"/>
      <c r="D1253" s="559"/>
      <c r="E1253" s="559"/>
      <c r="F1253" s="559"/>
      <c r="G1253" s="558"/>
      <c r="H1253" s="559"/>
      <c r="I1253" s="559"/>
      <c r="J1253" s="559"/>
      <c r="K1253" s="560"/>
      <c r="L1253" s="560"/>
      <c r="M1253" s="560"/>
    </row>
    <row r="1254" spans="3:13" s="338" customFormat="1">
      <c r="C1254" s="558"/>
      <c r="D1254" s="559"/>
      <c r="E1254" s="559"/>
      <c r="F1254" s="559"/>
      <c r="G1254" s="558"/>
      <c r="H1254" s="559"/>
      <c r="I1254" s="559"/>
      <c r="J1254" s="559"/>
      <c r="K1254" s="560"/>
      <c r="L1254" s="560"/>
      <c r="M1254" s="560"/>
    </row>
    <row r="1255" spans="3:13" s="338" customFormat="1">
      <c r="C1255" s="558"/>
      <c r="D1255" s="559"/>
      <c r="E1255" s="559"/>
      <c r="F1255" s="559"/>
      <c r="G1255" s="558"/>
      <c r="H1255" s="559"/>
      <c r="I1255" s="559"/>
      <c r="J1255" s="559"/>
      <c r="K1255" s="560"/>
      <c r="L1255" s="560"/>
      <c r="M1255" s="560"/>
    </row>
    <row r="1256" spans="3:13" s="338" customFormat="1">
      <c r="C1256" s="558"/>
      <c r="D1256" s="559"/>
      <c r="E1256" s="559"/>
      <c r="F1256" s="559"/>
      <c r="G1256" s="558"/>
      <c r="H1256" s="559"/>
      <c r="I1256" s="559"/>
      <c r="J1256" s="559"/>
      <c r="K1256" s="560"/>
      <c r="L1256" s="560"/>
      <c r="M1256" s="560"/>
    </row>
    <row r="1257" spans="3:13" s="338" customFormat="1">
      <c r="C1257" s="558"/>
      <c r="D1257" s="559"/>
      <c r="E1257" s="559"/>
      <c r="F1257" s="559"/>
      <c r="G1257" s="558"/>
      <c r="H1257" s="559"/>
      <c r="I1257" s="559"/>
      <c r="J1257" s="559"/>
      <c r="K1257" s="560"/>
      <c r="L1257" s="560"/>
      <c r="M1257" s="560"/>
    </row>
    <row r="1258" spans="3:13" s="338" customFormat="1">
      <c r="C1258" s="558"/>
      <c r="D1258" s="559"/>
      <c r="E1258" s="559"/>
      <c r="F1258" s="559"/>
      <c r="G1258" s="558"/>
      <c r="H1258" s="559"/>
      <c r="I1258" s="559"/>
      <c r="J1258" s="559"/>
      <c r="K1258" s="560"/>
      <c r="L1258" s="560"/>
      <c r="M1258" s="560"/>
    </row>
    <row r="1259" spans="3:13" s="338" customFormat="1">
      <c r="C1259" s="558"/>
      <c r="D1259" s="559"/>
      <c r="E1259" s="559"/>
      <c r="F1259" s="559"/>
      <c r="G1259" s="558"/>
      <c r="H1259" s="559"/>
      <c r="I1259" s="559"/>
      <c r="J1259" s="559"/>
      <c r="K1259" s="560"/>
      <c r="L1259" s="560"/>
      <c r="M1259" s="560"/>
    </row>
    <row r="1260" spans="3:13" s="338" customFormat="1">
      <c r="C1260" s="558"/>
      <c r="D1260" s="559"/>
      <c r="E1260" s="559"/>
      <c r="F1260" s="559"/>
      <c r="G1260" s="558"/>
      <c r="H1260" s="559"/>
      <c r="I1260" s="559"/>
      <c r="J1260" s="559"/>
      <c r="K1260" s="560"/>
      <c r="L1260" s="560"/>
      <c r="M1260" s="560"/>
    </row>
    <row r="1261" spans="3:13" s="338" customFormat="1">
      <c r="C1261" s="558"/>
      <c r="D1261" s="559"/>
      <c r="E1261" s="559"/>
      <c r="F1261" s="559"/>
      <c r="G1261" s="558"/>
      <c r="H1261" s="559"/>
      <c r="I1261" s="559"/>
      <c r="J1261" s="559"/>
      <c r="K1261" s="560"/>
      <c r="L1261" s="560"/>
      <c r="M1261" s="560"/>
    </row>
    <row r="1262" spans="3:13" s="338" customFormat="1">
      <c r="C1262" s="558"/>
      <c r="D1262" s="559"/>
      <c r="E1262" s="559"/>
      <c r="F1262" s="559"/>
      <c r="G1262" s="558"/>
      <c r="H1262" s="559"/>
      <c r="I1262" s="559"/>
      <c r="J1262" s="559"/>
      <c r="K1262" s="560"/>
      <c r="L1262" s="560"/>
      <c r="M1262" s="560"/>
    </row>
    <row r="1263" spans="3:13" s="338" customFormat="1">
      <c r="C1263" s="558"/>
      <c r="D1263" s="559"/>
      <c r="E1263" s="559"/>
      <c r="F1263" s="559"/>
      <c r="G1263" s="558"/>
      <c r="H1263" s="559"/>
      <c r="I1263" s="559"/>
      <c r="J1263" s="559"/>
      <c r="K1263" s="560"/>
      <c r="L1263" s="560"/>
      <c r="M1263" s="560"/>
    </row>
    <row r="1264" spans="3:13" s="338" customFormat="1">
      <c r="C1264" s="558"/>
      <c r="D1264" s="559"/>
      <c r="E1264" s="559"/>
      <c r="F1264" s="559"/>
      <c r="G1264" s="558"/>
      <c r="H1264" s="559"/>
      <c r="I1264" s="559"/>
      <c r="J1264" s="559"/>
      <c r="K1264" s="560"/>
      <c r="L1264" s="560"/>
      <c r="M1264" s="560"/>
    </row>
    <row r="1265" spans="3:13" s="338" customFormat="1">
      <c r="C1265" s="558"/>
      <c r="D1265" s="559"/>
      <c r="E1265" s="559"/>
      <c r="F1265" s="559"/>
      <c r="G1265" s="558"/>
      <c r="H1265" s="559"/>
      <c r="I1265" s="559"/>
      <c r="J1265" s="559"/>
      <c r="K1265" s="560"/>
      <c r="L1265" s="560"/>
      <c r="M1265" s="560"/>
    </row>
    <row r="1266" spans="3:13" s="338" customFormat="1">
      <c r="C1266" s="558"/>
      <c r="D1266" s="559"/>
      <c r="E1266" s="559"/>
      <c r="F1266" s="559"/>
      <c r="G1266" s="558"/>
      <c r="H1266" s="559"/>
      <c r="I1266" s="559"/>
      <c r="J1266" s="559"/>
      <c r="K1266" s="560"/>
      <c r="L1266" s="560"/>
      <c r="M1266" s="560"/>
    </row>
    <row r="1267" spans="3:13" s="338" customFormat="1">
      <c r="C1267" s="558"/>
      <c r="D1267" s="559"/>
      <c r="E1267" s="559"/>
      <c r="F1267" s="559"/>
      <c r="G1267" s="558"/>
      <c r="H1267" s="559"/>
      <c r="I1267" s="559"/>
      <c r="J1267" s="559"/>
      <c r="K1267" s="560"/>
      <c r="L1267" s="560"/>
      <c r="M1267" s="560"/>
    </row>
    <row r="1268" spans="3:13" s="338" customFormat="1">
      <c r="C1268" s="558"/>
      <c r="D1268" s="559"/>
      <c r="E1268" s="559"/>
      <c r="F1268" s="559"/>
      <c r="G1268" s="558"/>
      <c r="H1268" s="559"/>
      <c r="I1268" s="559"/>
      <c r="J1268" s="559"/>
      <c r="K1268" s="560"/>
      <c r="L1268" s="560"/>
      <c r="M1268" s="560"/>
    </row>
    <row r="1269" spans="3:13" s="338" customFormat="1">
      <c r="C1269" s="558"/>
      <c r="D1269" s="559"/>
      <c r="E1269" s="559"/>
      <c r="F1269" s="559"/>
      <c r="G1269" s="558"/>
      <c r="H1269" s="559"/>
      <c r="I1269" s="559"/>
      <c r="J1269" s="559"/>
      <c r="K1269" s="560"/>
      <c r="L1269" s="560"/>
      <c r="M1269" s="560"/>
    </row>
    <row r="1270" spans="3:13" s="338" customFormat="1">
      <c r="C1270" s="558"/>
      <c r="D1270" s="559"/>
      <c r="E1270" s="559"/>
      <c r="F1270" s="559"/>
      <c r="G1270" s="558"/>
      <c r="H1270" s="559"/>
      <c r="I1270" s="559"/>
      <c r="J1270" s="559"/>
      <c r="K1270" s="560"/>
      <c r="L1270" s="560"/>
      <c r="M1270" s="560"/>
    </row>
    <row r="1271" spans="3:13" s="338" customFormat="1">
      <c r="C1271" s="558"/>
      <c r="D1271" s="559"/>
      <c r="E1271" s="559"/>
      <c r="F1271" s="559"/>
      <c r="G1271" s="558"/>
      <c r="H1271" s="559"/>
      <c r="I1271" s="559"/>
      <c r="J1271" s="559"/>
      <c r="K1271" s="560"/>
      <c r="L1271" s="560"/>
      <c r="M1271" s="560"/>
    </row>
    <row r="1272" spans="3:13" s="338" customFormat="1">
      <c r="C1272" s="558"/>
      <c r="D1272" s="559"/>
      <c r="E1272" s="559"/>
      <c r="F1272" s="559"/>
      <c r="G1272" s="558"/>
      <c r="H1272" s="559"/>
      <c r="I1272" s="559"/>
      <c r="J1272" s="559"/>
      <c r="K1272" s="560"/>
      <c r="L1272" s="560"/>
      <c r="M1272" s="560"/>
    </row>
    <row r="1273" spans="3:13" s="338" customFormat="1">
      <c r="C1273" s="558"/>
      <c r="D1273" s="559"/>
      <c r="E1273" s="559"/>
      <c r="F1273" s="559"/>
      <c r="G1273" s="558"/>
      <c r="H1273" s="559"/>
      <c r="I1273" s="559"/>
      <c r="J1273" s="559"/>
      <c r="K1273" s="560"/>
      <c r="L1273" s="560"/>
      <c r="M1273" s="560"/>
    </row>
    <row r="1274" spans="3:13" s="338" customFormat="1">
      <c r="C1274" s="558"/>
      <c r="D1274" s="559"/>
      <c r="E1274" s="559"/>
      <c r="F1274" s="559"/>
      <c r="G1274" s="558"/>
      <c r="H1274" s="559"/>
      <c r="I1274" s="559"/>
      <c r="J1274" s="559"/>
      <c r="K1274" s="560"/>
      <c r="L1274" s="560"/>
      <c r="M1274" s="560"/>
    </row>
    <row r="1275" spans="3:13" s="338" customFormat="1">
      <c r="C1275" s="558"/>
      <c r="D1275" s="559"/>
      <c r="E1275" s="559"/>
      <c r="F1275" s="559"/>
      <c r="G1275" s="558"/>
      <c r="H1275" s="559"/>
      <c r="I1275" s="559"/>
      <c r="J1275" s="559"/>
      <c r="K1275" s="560"/>
      <c r="L1275" s="560"/>
      <c r="M1275" s="560"/>
    </row>
    <row r="1276" spans="3:13" s="338" customFormat="1">
      <c r="C1276" s="558"/>
      <c r="D1276" s="559"/>
      <c r="E1276" s="559"/>
      <c r="F1276" s="559"/>
      <c r="G1276" s="558"/>
      <c r="H1276" s="559"/>
      <c r="I1276" s="559"/>
      <c r="J1276" s="559"/>
      <c r="K1276" s="560"/>
      <c r="L1276" s="560"/>
      <c r="M1276" s="560"/>
    </row>
    <row r="1277" spans="3:13" s="338" customFormat="1">
      <c r="C1277" s="558"/>
      <c r="D1277" s="559"/>
      <c r="E1277" s="559"/>
      <c r="F1277" s="559"/>
      <c r="G1277" s="558"/>
      <c r="H1277" s="559"/>
      <c r="I1277" s="559"/>
      <c r="J1277" s="559"/>
      <c r="K1277" s="560"/>
      <c r="L1277" s="560"/>
      <c r="M1277" s="560"/>
    </row>
    <row r="1278" spans="3:13" s="338" customFormat="1">
      <c r="C1278" s="558"/>
      <c r="D1278" s="559"/>
      <c r="E1278" s="559"/>
      <c r="F1278" s="559"/>
      <c r="G1278" s="558"/>
      <c r="H1278" s="559"/>
      <c r="I1278" s="559"/>
      <c r="J1278" s="559"/>
      <c r="K1278" s="560"/>
      <c r="L1278" s="560"/>
      <c r="M1278" s="560"/>
    </row>
    <row r="1279" spans="3:13" s="338" customFormat="1">
      <c r="C1279" s="558"/>
      <c r="D1279" s="559"/>
      <c r="E1279" s="559"/>
      <c r="F1279" s="559"/>
      <c r="G1279" s="558"/>
      <c r="H1279" s="559"/>
      <c r="I1279" s="559"/>
      <c r="J1279" s="559"/>
      <c r="K1279" s="560"/>
      <c r="L1279" s="560"/>
      <c r="M1279" s="560"/>
    </row>
    <row r="1280" spans="3:13" s="338" customFormat="1">
      <c r="C1280" s="558"/>
      <c r="D1280" s="559"/>
      <c r="E1280" s="559"/>
      <c r="F1280" s="559"/>
      <c r="G1280" s="558"/>
      <c r="H1280" s="559"/>
      <c r="I1280" s="559"/>
      <c r="J1280" s="559"/>
      <c r="K1280" s="560"/>
      <c r="L1280" s="560"/>
      <c r="M1280" s="560"/>
    </row>
    <row r="1281" spans="3:13" s="338" customFormat="1">
      <c r="C1281" s="558"/>
      <c r="D1281" s="559"/>
      <c r="E1281" s="559"/>
      <c r="F1281" s="559"/>
      <c r="G1281" s="558"/>
      <c r="H1281" s="559"/>
      <c r="I1281" s="559"/>
      <c r="J1281" s="559"/>
      <c r="K1281" s="560"/>
      <c r="L1281" s="560"/>
      <c r="M1281" s="560"/>
    </row>
    <row r="1282" spans="3:13" s="338" customFormat="1">
      <c r="C1282" s="558"/>
      <c r="D1282" s="559"/>
      <c r="E1282" s="559"/>
      <c r="F1282" s="559"/>
      <c r="G1282" s="558"/>
      <c r="H1282" s="559"/>
      <c r="I1282" s="559"/>
      <c r="J1282" s="559"/>
      <c r="K1282" s="560"/>
      <c r="L1282" s="560"/>
      <c r="M1282" s="560"/>
    </row>
    <row r="1283" spans="3:13" s="338" customFormat="1">
      <c r="C1283" s="558"/>
      <c r="D1283" s="559"/>
      <c r="E1283" s="559"/>
      <c r="F1283" s="559"/>
      <c r="G1283" s="558"/>
      <c r="H1283" s="559"/>
      <c r="I1283" s="559"/>
      <c r="J1283" s="559"/>
      <c r="K1283" s="560"/>
      <c r="L1283" s="560"/>
      <c r="M1283" s="560"/>
    </row>
    <row r="1284" spans="3:13" s="338" customFormat="1">
      <c r="C1284" s="558"/>
      <c r="D1284" s="559"/>
      <c r="E1284" s="559"/>
      <c r="F1284" s="559"/>
      <c r="G1284" s="558"/>
      <c r="H1284" s="559"/>
      <c r="I1284" s="559"/>
      <c r="J1284" s="559"/>
      <c r="K1284" s="560"/>
      <c r="L1284" s="560"/>
      <c r="M1284" s="560"/>
    </row>
    <row r="1285" spans="3:13" s="338" customFormat="1">
      <c r="C1285" s="558"/>
      <c r="D1285" s="559"/>
      <c r="E1285" s="559"/>
      <c r="F1285" s="559"/>
      <c r="G1285" s="558"/>
      <c r="H1285" s="559"/>
      <c r="I1285" s="559"/>
      <c r="J1285" s="559"/>
      <c r="K1285" s="560"/>
      <c r="L1285" s="560"/>
      <c r="M1285" s="560"/>
    </row>
    <row r="1286" spans="3:13" s="338" customFormat="1">
      <c r="C1286" s="558"/>
      <c r="D1286" s="559"/>
      <c r="E1286" s="559"/>
      <c r="F1286" s="559"/>
      <c r="G1286" s="558"/>
      <c r="H1286" s="559"/>
      <c r="I1286" s="559"/>
      <c r="J1286" s="559"/>
      <c r="K1286" s="560"/>
      <c r="L1286" s="560"/>
      <c r="M1286" s="560"/>
    </row>
    <row r="1287" spans="3:13" s="338" customFormat="1">
      <c r="C1287" s="558"/>
      <c r="D1287" s="559"/>
      <c r="E1287" s="559"/>
      <c r="F1287" s="559"/>
      <c r="G1287" s="558"/>
      <c r="H1287" s="559"/>
      <c r="I1287" s="559"/>
      <c r="J1287" s="559"/>
      <c r="K1287" s="560"/>
      <c r="L1287" s="560"/>
      <c r="M1287" s="560"/>
    </row>
    <row r="1288" spans="3:13" s="338" customFormat="1">
      <c r="C1288" s="558"/>
      <c r="D1288" s="559"/>
      <c r="E1288" s="559"/>
      <c r="F1288" s="559"/>
      <c r="G1288" s="558"/>
      <c r="H1288" s="559"/>
      <c r="I1288" s="559"/>
      <c r="J1288" s="559"/>
      <c r="K1288" s="560"/>
      <c r="L1288" s="560"/>
      <c r="M1288" s="560"/>
    </row>
    <row r="1289" spans="3:13" s="338" customFormat="1">
      <c r="C1289" s="558"/>
      <c r="D1289" s="559"/>
      <c r="E1289" s="559"/>
      <c r="F1289" s="559"/>
      <c r="G1289" s="558"/>
      <c r="H1289" s="559"/>
      <c r="I1289" s="559"/>
      <c r="J1289" s="559"/>
      <c r="K1289" s="560"/>
      <c r="L1289" s="560"/>
      <c r="M1289" s="560"/>
    </row>
    <row r="1290" spans="3:13" s="338" customFormat="1">
      <c r="C1290" s="558"/>
      <c r="D1290" s="559"/>
      <c r="E1290" s="559"/>
      <c r="F1290" s="559"/>
      <c r="G1290" s="558"/>
      <c r="H1290" s="559"/>
      <c r="I1290" s="559"/>
      <c r="J1290" s="559"/>
      <c r="K1290" s="560"/>
      <c r="L1290" s="560"/>
      <c r="M1290" s="560"/>
    </row>
    <row r="1291" spans="3:13" s="338" customFormat="1">
      <c r="C1291" s="558"/>
      <c r="D1291" s="559"/>
      <c r="E1291" s="559"/>
      <c r="F1291" s="559"/>
      <c r="G1291" s="558"/>
      <c r="H1291" s="559"/>
      <c r="I1291" s="559"/>
      <c r="J1291" s="559"/>
      <c r="K1291" s="560"/>
      <c r="L1291" s="560"/>
      <c r="M1291" s="560"/>
    </row>
    <row r="1292" spans="3:13" s="338" customFormat="1">
      <c r="C1292" s="558"/>
      <c r="D1292" s="559"/>
      <c r="E1292" s="559"/>
      <c r="F1292" s="559"/>
      <c r="G1292" s="558"/>
      <c r="H1292" s="559"/>
      <c r="I1292" s="559"/>
      <c r="J1292" s="559"/>
      <c r="K1292" s="560"/>
      <c r="L1292" s="560"/>
      <c r="M1292" s="560"/>
    </row>
    <row r="1293" spans="3:13" s="338" customFormat="1">
      <c r="C1293" s="558"/>
      <c r="D1293" s="559"/>
      <c r="E1293" s="559"/>
      <c r="F1293" s="559"/>
      <c r="G1293" s="558"/>
      <c r="H1293" s="559"/>
      <c r="I1293" s="559"/>
      <c r="J1293" s="559"/>
      <c r="K1293" s="560"/>
      <c r="L1293" s="560"/>
      <c r="M1293" s="560"/>
    </row>
    <row r="1294" spans="3:13" s="338" customFormat="1">
      <c r="C1294" s="558"/>
      <c r="D1294" s="559"/>
      <c r="E1294" s="559"/>
      <c r="F1294" s="559"/>
      <c r="G1294" s="558"/>
      <c r="H1294" s="559"/>
      <c r="I1294" s="559"/>
      <c r="J1294" s="559"/>
      <c r="K1294" s="560"/>
      <c r="L1294" s="560"/>
      <c r="M1294" s="560"/>
    </row>
    <row r="1295" spans="3:13" s="338" customFormat="1">
      <c r="C1295" s="558"/>
      <c r="D1295" s="559"/>
      <c r="E1295" s="559"/>
      <c r="F1295" s="559"/>
      <c r="G1295" s="558"/>
      <c r="H1295" s="559"/>
      <c r="I1295" s="559"/>
      <c r="J1295" s="559"/>
      <c r="K1295" s="560"/>
      <c r="L1295" s="560"/>
      <c r="M1295" s="560"/>
    </row>
    <row r="1296" spans="3:13" s="338" customFormat="1">
      <c r="C1296" s="558"/>
      <c r="D1296" s="559"/>
      <c r="E1296" s="559"/>
      <c r="F1296" s="559"/>
      <c r="G1296" s="558"/>
      <c r="H1296" s="559"/>
      <c r="I1296" s="559"/>
      <c r="J1296" s="559"/>
      <c r="K1296" s="560"/>
      <c r="L1296" s="560"/>
      <c r="M1296" s="560"/>
    </row>
    <row r="1297" spans="3:13" s="338" customFormat="1">
      <c r="C1297" s="558"/>
      <c r="D1297" s="559"/>
      <c r="E1297" s="559"/>
      <c r="F1297" s="559"/>
      <c r="G1297" s="558"/>
      <c r="H1297" s="559"/>
      <c r="I1297" s="559"/>
      <c r="J1297" s="559"/>
      <c r="K1297" s="560"/>
      <c r="L1297" s="560"/>
      <c r="M1297" s="560"/>
    </row>
    <row r="1298" spans="3:13" s="338" customFormat="1">
      <c r="C1298" s="558"/>
      <c r="D1298" s="559"/>
      <c r="E1298" s="559"/>
      <c r="F1298" s="559"/>
      <c r="G1298" s="558"/>
      <c r="H1298" s="559"/>
      <c r="I1298" s="559"/>
      <c r="J1298" s="559"/>
      <c r="K1298" s="560"/>
      <c r="L1298" s="560"/>
      <c r="M1298" s="560"/>
    </row>
    <row r="1299" spans="3:13" s="338" customFormat="1">
      <c r="C1299" s="558"/>
      <c r="D1299" s="559"/>
      <c r="E1299" s="559"/>
      <c r="F1299" s="559"/>
      <c r="G1299" s="558"/>
      <c r="H1299" s="559"/>
      <c r="I1299" s="559"/>
      <c r="J1299" s="559"/>
      <c r="K1299" s="560"/>
      <c r="L1299" s="560"/>
      <c r="M1299" s="560"/>
    </row>
    <row r="1300" spans="3:13" s="338" customFormat="1">
      <c r="C1300" s="558"/>
      <c r="D1300" s="559"/>
      <c r="E1300" s="559"/>
      <c r="F1300" s="559"/>
      <c r="G1300" s="558"/>
      <c r="H1300" s="559"/>
      <c r="I1300" s="559"/>
      <c r="J1300" s="559"/>
      <c r="K1300" s="560"/>
      <c r="L1300" s="560"/>
      <c r="M1300" s="560"/>
    </row>
    <row r="1301" spans="3:13" s="338" customFormat="1">
      <c r="C1301" s="558"/>
      <c r="D1301" s="559"/>
      <c r="E1301" s="559"/>
      <c r="F1301" s="559"/>
      <c r="G1301" s="558"/>
      <c r="H1301" s="559"/>
      <c r="I1301" s="559"/>
      <c r="J1301" s="559"/>
      <c r="K1301" s="560"/>
      <c r="L1301" s="560"/>
      <c r="M1301" s="560"/>
    </row>
    <row r="1302" spans="3:13" s="338" customFormat="1">
      <c r="C1302" s="558"/>
      <c r="D1302" s="559"/>
      <c r="E1302" s="559"/>
      <c r="F1302" s="559"/>
      <c r="G1302" s="558"/>
      <c r="H1302" s="559"/>
      <c r="I1302" s="559"/>
      <c r="J1302" s="559"/>
      <c r="K1302" s="560"/>
      <c r="L1302" s="560"/>
      <c r="M1302" s="560"/>
    </row>
    <row r="1303" spans="3:13" s="338" customFormat="1">
      <c r="C1303" s="558"/>
      <c r="D1303" s="559"/>
      <c r="E1303" s="559"/>
      <c r="F1303" s="559"/>
      <c r="G1303" s="558"/>
      <c r="H1303" s="559"/>
      <c r="I1303" s="559"/>
      <c r="J1303" s="559"/>
      <c r="K1303" s="560"/>
      <c r="L1303" s="560"/>
      <c r="M1303" s="560"/>
    </row>
    <row r="1304" spans="3:13" s="338" customFormat="1">
      <c r="C1304" s="558"/>
      <c r="D1304" s="559"/>
      <c r="E1304" s="559"/>
      <c r="F1304" s="559"/>
      <c r="G1304" s="558"/>
      <c r="H1304" s="559"/>
      <c r="I1304" s="559"/>
      <c r="J1304" s="559"/>
      <c r="K1304" s="560"/>
      <c r="L1304" s="560"/>
      <c r="M1304" s="560"/>
    </row>
    <row r="1305" spans="3:13" s="338" customFormat="1">
      <c r="C1305" s="558"/>
      <c r="D1305" s="559"/>
      <c r="E1305" s="559"/>
      <c r="F1305" s="559"/>
      <c r="G1305" s="558"/>
      <c r="H1305" s="559"/>
      <c r="I1305" s="559"/>
      <c r="J1305" s="559"/>
      <c r="K1305" s="560"/>
      <c r="L1305" s="560"/>
      <c r="M1305" s="560"/>
    </row>
    <row r="1306" spans="3:13" s="338" customFormat="1">
      <c r="C1306" s="558"/>
      <c r="D1306" s="559"/>
      <c r="E1306" s="559"/>
      <c r="F1306" s="559"/>
      <c r="G1306" s="558"/>
      <c r="H1306" s="559"/>
      <c r="I1306" s="559"/>
      <c r="J1306" s="559"/>
      <c r="K1306" s="560"/>
      <c r="L1306" s="560"/>
      <c r="M1306" s="560"/>
    </row>
    <row r="1307" spans="3:13" s="338" customFormat="1">
      <c r="C1307" s="558"/>
      <c r="D1307" s="559"/>
      <c r="E1307" s="559"/>
      <c r="F1307" s="559"/>
      <c r="G1307" s="558"/>
      <c r="H1307" s="559"/>
      <c r="I1307" s="559"/>
      <c r="J1307" s="559"/>
      <c r="K1307" s="560"/>
      <c r="L1307" s="560"/>
      <c r="M1307" s="560"/>
    </row>
    <row r="1308" spans="3:13" s="338" customFormat="1">
      <c r="C1308" s="558"/>
      <c r="D1308" s="559"/>
      <c r="E1308" s="559"/>
      <c r="F1308" s="559"/>
      <c r="G1308" s="558"/>
      <c r="H1308" s="559"/>
      <c r="I1308" s="559"/>
      <c r="J1308" s="559"/>
      <c r="K1308" s="560"/>
      <c r="L1308" s="560"/>
      <c r="M1308" s="560"/>
    </row>
    <row r="1309" spans="3:13" s="338" customFormat="1">
      <c r="C1309" s="558"/>
      <c r="D1309" s="559"/>
      <c r="E1309" s="559"/>
      <c r="F1309" s="559"/>
      <c r="G1309" s="558"/>
      <c r="H1309" s="559"/>
      <c r="I1309" s="559"/>
      <c r="J1309" s="559"/>
      <c r="K1309" s="560"/>
      <c r="L1309" s="560"/>
      <c r="M1309" s="560"/>
    </row>
    <row r="1310" spans="3:13" s="338" customFormat="1">
      <c r="C1310" s="558"/>
      <c r="D1310" s="559"/>
      <c r="E1310" s="559"/>
      <c r="F1310" s="559"/>
      <c r="G1310" s="558"/>
      <c r="H1310" s="559"/>
      <c r="I1310" s="559"/>
      <c r="J1310" s="559"/>
      <c r="K1310" s="560"/>
      <c r="L1310" s="560"/>
      <c r="M1310" s="560"/>
    </row>
    <row r="1311" spans="3:13" s="338" customFormat="1">
      <c r="C1311" s="558"/>
      <c r="D1311" s="559"/>
      <c r="E1311" s="559"/>
      <c r="F1311" s="559"/>
      <c r="G1311" s="558"/>
      <c r="H1311" s="559"/>
      <c r="I1311" s="559"/>
      <c r="J1311" s="559"/>
      <c r="K1311" s="560"/>
      <c r="L1311" s="560"/>
      <c r="M1311" s="560"/>
    </row>
    <row r="1312" spans="3:13" s="338" customFormat="1">
      <c r="C1312" s="558"/>
      <c r="D1312" s="559"/>
      <c r="E1312" s="559"/>
      <c r="F1312" s="559"/>
      <c r="G1312" s="558"/>
      <c r="H1312" s="559"/>
      <c r="I1312" s="559"/>
      <c r="J1312" s="559"/>
      <c r="K1312" s="560"/>
      <c r="L1312" s="560"/>
      <c r="M1312" s="560"/>
    </row>
    <row r="1313" spans="3:13" s="338" customFormat="1">
      <c r="C1313" s="558"/>
      <c r="D1313" s="559"/>
      <c r="E1313" s="559"/>
      <c r="F1313" s="559"/>
      <c r="G1313" s="558"/>
      <c r="H1313" s="559"/>
      <c r="I1313" s="559"/>
      <c r="J1313" s="559"/>
      <c r="K1313" s="560"/>
      <c r="L1313" s="560"/>
      <c r="M1313" s="560"/>
    </row>
    <row r="1314" spans="3:13" s="338" customFormat="1">
      <c r="C1314" s="558"/>
      <c r="D1314" s="559"/>
      <c r="E1314" s="559"/>
      <c r="F1314" s="559"/>
      <c r="G1314" s="558"/>
      <c r="H1314" s="559"/>
      <c r="I1314" s="559"/>
      <c r="J1314" s="559"/>
      <c r="K1314" s="560"/>
      <c r="L1314" s="560"/>
      <c r="M1314" s="560"/>
    </row>
    <row r="1315" spans="3:13" s="338" customFormat="1">
      <c r="C1315" s="558"/>
      <c r="D1315" s="559"/>
      <c r="E1315" s="559"/>
      <c r="F1315" s="559"/>
      <c r="G1315" s="558"/>
      <c r="H1315" s="559"/>
      <c r="I1315" s="559"/>
      <c r="J1315" s="559"/>
      <c r="K1315" s="560"/>
      <c r="L1315" s="560"/>
      <c r="M1315" s="560"/>
    </row>
    <row r="1316" spans="3:13" s="338" customFormat="1">
      <c r="C1316" s="558"/>
      <c r="D1316" s="559"/>
      <c r="E1316" s="559"/>
      <c r="F1316" s="559"/>
      <c r="G1316" s="558"/>
      <c r="H1316" s="559"/>
      <c r="I1316" s="559"/>
      <c r="J1316" s="559"/>
      <c r="K1316" s="560"/>
      <c r="L1316" s="560"/>
      <c r="M1316" s="560"/>
    </row>
    <row r="1317" spans="3:13" s="338" customFormat="1">
      <c r="C1317" s="558"/>
      <c r="D1317" s="559"/>
      <c r="E1317" s="559"/>
      <c r="F1317" s="559"/>
      <c r="G1317" s="558"/>
      <c r="H1317" s="559"/>
      <c r="I1317" s="559"/>
      <c r="J1317" s="559"/>
      <c r="K1317" s="560"/>
      <c r="L1317" s="560"/>
      <c r="M1317" s="560"/>
    </row>
    <row r="1318" spans="3:13" s="338" customFormat="1">
      <c r="C1318" s="558"/>
      <c r="D1318" s="559"/>
      <c r="E1318" s="559"/>
      <c r="F1318" s="559"/>
      <c r="G1318" s="558"/>
      <c r="H1318" s="559"/>
      <c r="I1318" s="559"/>
      <c r="J1318" s="559"/>
      <c r="K1318" s="560"/>
      <c r="L1318" s="560"/>
      <c r="M1318" s="560"/>
    </row>
    <row r="1319" spans="3:13" s="338" customFormat="1">
      <c r="C1319" s="558"/>
      <c r="D1319" s="559"/>
      <c r="E1319" s="559"/>
      <c r="F1319" s="559"/>
      <c r="G1319" s="558"/>
      <c r="H1319" s="559"/>
      <c r="I1319" s="559"/>
      <c r="J1319" s="559"/>
      <c r="K1319" s="560"/>
      <c r="L1319" s="560"/>
      <c r="M1319" s="560"/>
    </row>
    <row r="1320" spans="3:13" s="338" customFormat="1">
      <c r="C1320" s="558"/>
      <c r="D1320" s="559"/>
      <c r="E1320" s="559"/>
      <c r="F1320" s="559"/>
      <c r="G1320" s="558"/>
      <c r="H1320" s="559"/>
      <c r="I1320" s="559"/>
      <c r="J1320" s="559"/>
      <c r="K1320" s="560"/>
      <c r="L1320" s="560"/>
      <c r="M1320" s="560"/>
    </row>
    <row r="1321" spans="3:13" s="338" customFormat="1">
      <c r="C1321" s="558"/>
      <c r="D1321" s="559"/>
      <c r="E1321" s="559"/>
      <c r="F1321" s="559"/>
      <c r="G1321" s="558"/>
      <c r="H1321" s="559"/>
      <c r="I1321" s="559"/>
      <c r="J1321" s="559"/>
      <c r="K1321" s="560"/>
      <c r="L1321" s="560"/>
      <c r="M1321" s="560"/>
    </row>
    <row r="1322" spans="3:13" s="338" customFormat="1">
      <c r="C1322" s="558"/>
      <c r="D1322" s="559"/>
      <c r="E1322" s="559"/>
      <c r="F1322" s="559"/>
      <c r="G1322" s="558"/>
      <c r="H1322" s="559"/>
      <c r="I1322" s="559"/>
      <c r="J1322" s="559"/>
      <c r="K1322" s="560"/>
      <c r="L1322" s="560"/>
      <c r="M1322" s="560"/>
    </row>
    <row r="1323" spans="3:13" s="338" customFormat="1">
      <c r="C1323" s="558"/>
      <c r="D1323" s="559"/>
      <c r="E1323" s="559"/>
      <c r="F1323" s="559"/>
      <c r="G1323" s="558"/>
      <c r="H1323" s="559"/>
      <c r="I1323" s="559"/>
      <c r="J1323" s="559"/>
      <c r="K1323" s="560"/>
      <c r="L1323" s="560"/>
      <c r="M1323" s="560"/>
    </row>
    <row r="1324" spans="3:13" s="338" customFormat="1">
      <c r="C1324" s="558"/>
      <c r="D1324" s="559"/>
      <c r="E1324" s="559"/>
      <c r="F1324" s="559"/>
      <c r="G1324" s="558"/>
      <c r="H1324" s="559"/>
      <c r="I1324" s="559"/>
      <c r="J1324" s="559"/>
      <c r="K1324" s="560"/>
      <c r="L1324" s="560"/>
      <c r="M1324" s="560"/>
    </row>
    <row r="1325" spans="3:13" s="338" customFormat="1">
      <c r="C1325" s="558"/>
      <c r="D1325" s="559"/>
      <c r="E1325" s="559"/>
      <c r="F1325" s="559"/>
      <c r="G1325" s="558"/>
      <c r="H1325" s="559"/>
      <c r="I1325" s="559"/>
      <c r="J1325" s="559"/>
      <c r="K1325" s="560"/>
      <c r="L1325" s="560"/>
      <c r="M1325" s="560"/>
    </row>
    <row r="1326" spans="3:13" s="338" customFormat="1">
      <c r="C1326" s="558"/>
      <c r="D1326" s="559"/>
      <c r="E1326" s="559"/>
      <c r="F1326" s="559"/>
      <c r="G1326" s="558"/>
      <c r="H1326" s="559"/>
      <c r="I1326" s="559"/>
      <c r="J1326" s="559"/>
      <c r="K1326" s="560"/>
      <c r="L1326" s="560"/>
      <c r="M1326" s="560"/>
    </row>
    <row r="1327" spans="3:13" s="338" customFormat="1">
      <c r="C1327" s="558"/>
      <c r="D1327" s="559"/>
      <c r="E1327" s="559"/>
      <c r="F1327" s="559"/>
      <c r="G1327" s="558"/>
      <c r="H1327" s="559"/>
      <c r="I1327" s="559"/>
      <c r="J1327" s="559"/>
      <c r="K1327" s="560"/>
      <c r="L1327" s="560"/>
      <c r="M1327" s="560"/>
    </row>
    <row r="1328" spans="3:13" s="338" customFormat="1">
      <c r="C1328" s="558"/>
      <c r="D1328" s="559"/>
      <c r="E1328" s="559"/>
      <c r="F1328" s="559"/>
      <c r="G1328" s="558"/>
      <c r="H1328" s="559"/>
      <c r="I1328" s="559"/>
      <c r="J1328" s="559"/>
      <c r="K1328" s="560"/>
      <c r="L1328" s="560"/>
      <c r="M1328" s="560"/>
    </row>
    <row r="1329" spans="3:13" s="338" customFormat="1">
      <c r="C1329" s="558"/>
      <c r="D1329" s="559"/>
      <c r="E1329" s="559"/>
      <c r="F1329" s="559"/>
      <c r="G1329" s="558"/>
      <c r="H1329" s="559"/>
      <c r="I1329" s="559"/>
      <c r="J1329" s="559"/>
      <c r="K1329" s="560"/>
      <c r="L1329" s="560"/>
      <c r="M1329" s="560"/>
    </row>
    <row r="1330" spans="3:13" s="338" customFormat="1">
      <c r="C1330" s="558"/>
      <c r="D1330" s="559"/>
      <c r="E1330" s="559"/>
      <c r="F1330" s="559"/>
      <c r="G1330" s="558"/>
      <c r="H1330" s="559"/>
      <c r="I1330" s="559"/>
      <c r="J1330" s="559"/>
      <c r="K1330" s="560"/>
      <c r="L1330" s="560"/>
      <c r="M1330" s="560"/>
    </row>
    <row r="1331" spans="3:13" s="338" customFormat="1">
      <c r="C1331" s="558"/>
      <c r="D1331" s="559"/>
      <c r="E1331" s="559"/>
      <c r="F1331" s="559"/>
      <c r="G1331" s="558"/>
      <c r="H1331" s="559"/>
      <c r="I1331" s="559"/>
      <c r="J1331" s="559"/>
      <c r="K1331" s="560"/>
      <c r="L1331" s="560"/>
      <c r="M1331" s="560"/>
    </row>
    <row r="1332" spans="3:13" s="338" customFormat="1">
      <c r="C1332" s="558"/>
      <c r="D1332" s="559"/>
      <c r="E1332" s="559"/>
      <c r="F1332" s="559"/>
      <c r="G1332" s="558"/>
      <c r="H1332" s="559"/>
      <c r="I1332" s="559"/>
      <c r="J1332" s="559"/>
      <c r="K1332" s="560"/>
      <c r="L1332" s="560"/>
      <c r="M1332" s="560"/>
    </row>
    <row r="1333" spans="3:13" s="338" customFormat="1">
      <c r="C1333" s="558"/>
      <c r="D1333" s="559"/>
      <c r="E1333" s="559"/>
      <c r="F1333" s="559"/>
      <c r="G1333" s="558"/>
      <c r="H1333" s="559"/>
      <c r="I1333" s="559"/>
      <c r="J1333" s="559"/>
      <c r="K1333" s="560"/>
      <c r="L1333" s="560"/>
      <c r="M1333" s="560"/>
    </row>
    <row r="1334" spans="3:13" s="338" customFormat="1">
      <c r="C1334" s="558"/>
      <c r="D1334" s="559"/>
      <c r="E1334" s="559"/>
      <c r="F1334" s="559"/>
      <c r="G1334" s="558"/>
      <c r="H1334" s="559"/>
      <c r="I1334" s="559"/>
      <c r="J1334" s="559"/>
      <c r="K1334" s="560"/>
      <c r="L1334" s="560"/>
      <c r="M1334" s="560"/>
    </row>
    <row r="1335" spans="3:13" s="338" customFormat="1">
      <c r="C1335" s="558"/>
      <c r="D1335" s="559"/>
      <c r="E1335" s="559"/>
      <c r="F1335" s="559"/>
      <c r="G1335" s="558"/>
      <c r="H1335" s="559"/>
      <c r="I1335" s="559"/>
      <c r="J1335" s="559"/>
      <c r="K1335" s="560"/>
      <c r="L1335" s="560"/>
      <c r="M1335" s="560"/>
    </row>
    <row r="1336" spans="3:13" s="338" customFormat="1">
      <c r="C1336" s="558"/>
      <c r="D1336" s="559"/>
      <c r="E1336" s="559"/>
      <c r="F1336" s="559"/>
      <c r="G1336" s="558"/>
      <c r="H1336" s="559"/>
      <c r="I1336" s="559"/>
      <c r="J1336" s="559"/>
      <c r="K1336" s="560"/>
      <c r="L1336" s="560"/>
      <c r="M1336" s="560"/>
    </row>
    <row r="1337" spans="3:13" s="338" customFormat="1">
      <c r="C1337" s="558"/>
      <c r="D1337" s="559"/>
      <c r="E1337" s="559"/>
      <c r="F1337" s="559"/>
      <c r="G1337" s="558"/>
      <c r="H1337" s="559"/>
      <c r="I1337" s="559"/>
      <c r="J1337" s="559"/>
      <c r="K1337" s="560"/>
      <c r="L1337" s="560"/>
      <c r="M1337" s="560"/>
    </row>
    <row r="1338" spans="3:13" s="338" customFormat="1">
      <c r="C1338" s="558"/>
      <c r="D1338" s="559"/>
      <c r="E1338" s="559"/>
      <c r="F1338" s="559"/>
      <c r="G1338" s="558"/>
      <c r="H1338" s="559"/>
      <c r="I1338" s="559"/>
      <c r="J1338" s="559"/>
      <c r="K1338" s="560"/>
      <c r="L1338" s="560"/>
      <c r="M1338" s="560"/>
    </row>
    <row r="1339" spans="3:13" s="338" customFormat="1">
      <c r="C1339" s="558"/>
      <c r="D1339" s="559"/>
      <c r="E1339" s="559"/>
      <c r="F1339" s="559"/>
      <c r="G1339" s="558"/>
      <c r="H1339" s="559"/>
      <c r="I1339" s="559"/>
      <c r="J1339" s="559"/>
      <c r="K1339" s="560"/>
      <c r="L1339" s="560"/>
      <c r="M1339" s="560"/>
    </row>
    <row r="1340" spans="3:13" s="338" customFormat="1">
      <c r="C1340" s="558"/>
      <c r="D1340" s="559"/>
      <c r="E1340" s="559"/>
      <c r="F1340" s="559"/>
      <c r="G1340" s="558"/>
      <c r="H1340" s="559"/>
      <c r="I1340" s="559"/>
      <c r="J1340" s="559"/>
      <c r="K1340" s="560"/>
      <c r="L1340" s="560"/>
      <c r="M1340" s="560"/>
    </row>
    <row r="1341" spans="3:13" s="338" customFormat="1">
      <c r="C1341" s="558"/>
      <c r="D1341" s="559"/>
      <c r="E1341" s="559"/>
      <c r="F1341" s="559"/>
      <c r="G1341" s="558"/>
      <c r="H1341" s="559"/>
      <c r="I1341" s="559"/>
      <c r="J1341" s="559"/>
      <c r="K1341" s="560"/>
      <c r="L1341" s="560"/>
      <c r="M1341" s="560"/>
    </row>
    <row r="1342" spans="3:13" s="338" customFormat="1">
      <c r="C1342" s="558"/>
      <c r="D1342" s="559"/>
      <c r="E1342" s="559"/>
      <c r="F1342" s="559"/>
      <c r="G1342" s="558"/>
      <c r="H1342" s="559"/>
      <c r="I1342" s="559"/>
      <c r="J1342" s="559"/>
      <c r="K1342" s="560"/>
      <c r="L1342" s="560"/>
      <c r="M1342" s="560"/>
    </row>
    <row r="1343" spans="3:13" s="338" customFormat="1">
      <c r="C1343" s="558"/>
      <c r="D1343" s="559"/>
      <c r="E1343" s="559"/>
      <c r="F1343" s="559"/>
      <c r="G1343" s="558"/>
      <c r="H1343" s="559"/>
      <c r="I1343" s="559"/>
      <c r="J1343" s="559"/>
      <c r="K1343" s="560"/>
      <c r="L1343" s="560"/>
      <c r="M1343" s="560"/>
    </row>
    <row r="1344" spans="3:13" s="338" customFormat="1">
      <c r="C1344" s="558"/>
      <c r="D1344" s="559"/>
      <c r="E1344" s="559"/>
      <c r="F1344" s="559"/>
      <c r="G1344" s="558"/>
      <c r="H1344" s="559"/>
      <c r="I1344" s="559"/>
      <c r="J1344" s="559"/>
      <c r="K1344" s="560"/>
      <c r="L1344" s="560"/>
      <c r="M1344" s="560"/>
    </row>
    <row r="1345" spans="3:13" s="338" customFormat="1">
      <c r="C1345" s="558"/>
      <c r="D1345" s="559"/>
      <c r="E1345" s="559"/>
      <c r="F1345" s="559"/>
      <c r="G1345" s="558"/>
      <c r="H1345" s="559"/>
      <c r="I1345" s="559"/>
      <c r="J1345" s="559"/>
      <c r="K1345" s="560"/>
      <c r="L1345" s="560"/>
      <c r="M1345" s="560"/>
    </row>
    <row r="1346" spans="3:13" s="338" customFormat="1">
      <c r="C1346" s="558"/>
      <c r="D1346" s="559"/>
      <c r="E1346" s="559"/>
      <c r="F1346" s="559"/>
      <c r="G1346" s="558"/>
      <c r="H1346" s="559"/>
      <c r="I1346" s="559"/>
      <c r="J1346" s="559"/>
      <c r="K1346" s="560"/>
      <c r="L1346" s="560"/>
      <c r="M1346" s="560"/>
    </row>
    <row r="1347" spans="3:13" s="338" customFormat="1">
      <c r="C1347" s="558"/>
      <c r="D1347" s="559"/>
      <c r="E1347" s="559"/>
      <c r="F1347" s="559"/>
      <c r="G1347" s="558"/>
      <c r="H1347" s="559"/>
      <c r="I1347" s="559"/>
      <c r="J1347" s="559"/>
      <c r="K1347" s="560"/>
      <c r="L1347" s="560"/>
      <c r="M1347" s="560"/>
    </row>
    <row r="1348" spans="3:13" s="338" customFormat="1">
      <c r="C1348" s="558"/>
      <c r="D1348" s="559"/>
      <c r="E1348" s="559"/>
      <c r="F1348" s="559"/>
      <c r="G1348" s="558"/>
      <c r="H1348" s="559"/>
      <c r="I1348" s="559"/>
      <c r="J1348" s="559"/>
      <c r="K1348" s="560"/>
      <c r="L1348" s="560"/>
      <c r="M1348" s="560"/>
    </row>
    <row r="1349" spans="3:13" s="338" customFormat="1">
      <c r="C1349" s="558"/>
      <c r="D1349" s="559"/>
      <c r="E1349" s="559"/>
      <c r="F1349" s="559"/>
      <c r="G1349" s="558"/>
      <c r="H1349" s="559"/>
      <c r="I1349" s="559"/>
      <c r="J1349" s="559"/>
      <c r="K1349" s="560"/>
      <c r="L1349" s="560"/>
      <c r="M1349" s="560"/>
    </row>
    <row r="1350" spans="3:13" s="338" customFormat="1">
      <c r="C1350" s="558"/>
      <c r="D1350" s="559"/>
      <c r="E1350" s="559"/>
      <c r="F1350" s="559"/>
      <c r="G1350" s="558"/>
      <c r="H1350" s="559"/>
      <c r="I1350" s="559"/>
      <c r="J1350" s="559"/>
      <c r="K1350" s="560"/>
      <c r="L1350" s="560"/>
      <c r="M1350" s="560"/>
    </row>
    <row r="1351" spans="3:13" s="338" customFormat="1">
      <c r="C1351" s="558"/>
      <c r="D1351" s="559"/>
      <c r="E1351" s="559"/>
      <c r="F1351" s="559"/>
      <c r="G1351" s="558"/>
      <c r="H1351" s="559"/>
      <c r="I1351" s="559"/>
      <c r="J1351" s="559"/>
      <c r="K1351" s="560"/>
      <c r="L1351" s="560"/>
      <c r="M1351" s="560"/>
    </row>
    <row r="1352" spans="3:13" s="338" customFormat="1">
      <c r="C1352" s="558"/>
      <c r="D1352" s="559"/>
      <c r="E1352" s="559"/>
      <c r="F1352" s="559"/>
      <c r="G1352" s="558"/>
      <c r="H1352" s="559"/>
      <c r="I1352" s="559"/>
      <c r="J1352" s="559"/>
      <c r="K1352" s="560"/>
      <c r="L1352" s="560"/>
      <c r="M1352" s="560"/>
    </row>
    <row r="1353" spans="3:13" s="338" customFormat="1">
      <c r="C1353" s="558"/>
      <c r="D1353" s="559"/>
      <c r="E1353" s="559"/>
      <c r="F1353" s="559"/>
      <c r="G1353" s="558"/>
      <c r="H1353" s="559"/>
      <c r="I1353" s="559"/>
      <c r="J1353" s="559"/>
      <c r="K1353" s="560"/>
      <c r="L1353" s="560"/>
      <c r="M1353" s="560"/>
    </row>
    <row r="1354" spans="3:13" s="338" customFormat="1">
      <c r="C1354" s="558"/>
      <c r="D1354" s="559"/>
      <c r="E1354" s="559"/>
      <c r="F1354" s="559"/>
      <c r="G1354" s="558"/>
      <c r="H1354" s="559"/>
      <c r="I1354" s="559"/>
      <c r="J1354" s="559"/>
      <c r="K1354" s="560"/>
      <c r="L1354" s="560"/>
      <c r="M1354" s="560"/>
    </row>
    <row r="1355" spans="3:13" s="338" customFormat="1">
      <c r="C1355" s="558"/>
      <c r="D1355" s="559"/>
      <c r="E1355" s="559"/>
      <c r="F1355" s="559"/>
      <c r="G1355" s="558"/>
      <c r="H1355" s="559"/>
      <c r="I1355" s="559"/>
      <c r="J1355" s="559"/>
      <c r="K1355" s="560"/>
      <c r="L1355" s="560"/>
      <c r="M1355" s="560"/>
    </row>
    <row r="1356" spans="3:13" s="338" customFormat="1">
      <c r="C1356" s="558"/>
      <c r="D1356" s="559"/>
      <c r="E1356" s="559"/>
      <c r="F1356" s="559"/>
      <c r="G1356" s="558"/>
      <c r="H1356" s="559"/>
      <c r="I1356" s="559"/>
      <c r="J1356" s="559"/>
      <c r="K1356" s="560"/>
      <c r="L1356" s="560"/>
      <c r="M1356" s="560"/>
    </row>
    <row r="1357" spans="3:13" s="338" customFormat="1">
      <c r="C1357" s="558"/>
      <c r="D1357" s="559"/>
      <c r="E1357" s="559"/>
      <c r="F1357" s="559"/>
      <c r="G1357" s="558"/>
      <c r="H1357" s="559"/>
      <c r="I1357" s="559"/>
      <c r="J1357" s="559"/>
      <c r="K1357" s="560"/>
      <c r="L1357" s="560"/>
      <c r="M1357" s="560"/>
    </row>
    <row r="1358" spans="3:13" s="338" customFormat="1">
      <c r="C1358" s="558"/>
      <c r="D1358" s="559"/>
      <c r="E1358" s="559"/>
      <c r="F1358" s="559"/>
      <c r="G1358" s="558"/>
      <c r="H1358" s="559"/>
      <c r="I1358" s="559"/>
      <c r="J1358" s="559"/>
      <c r="K1358" s="560"/>
      <c r="L1358" s="560"/>
      <c r="M1358" s="560"/>
    </row>
    <row r="1359" spans="3:13" s="338" customFormat="1">
      <c r="C1359" s="558"/>
      <c r="D1359" s="559"/>
      <c r="E1359" s="559"/>
      <c r="F1359" s="559"/>
      <c r="G1359" s="558"/>
      <c r="H1359" s="559"/>
      <c r="I1359" s="559"/>
      <c r="J1359" s="559"/>
      <c r="K1359" s="560"/>
      <c r="L1359" s="560"/>
      <c r="M1359" s="560"/>
    </row>
    <row r="1360" spans="3:13" s="338" customFormat="1">
      <c r="C1360" s="558"/>
      <c r="D1360" s="559"/>
      <c r="E1360" s="559"/>
      <c r="F1360" s="559"/>
      <c r="G1360" s="558"/>
      <c r="H1360" s="559"/>
      <c r="I1360" s="559"/>
      <c r="J1360" s="559"/>
      <c r="K1360" s="560"/>
      <c r="L1360" s="560"/>
      <c r="M1360" s="560"/>
    </row>
    <row r="1361" spans="3:13" s="338" customFormat="1">
      <c r="C1361" s="558"/>
      <c r="D1361" s="559"/>
      <c r="E1361" s="559"/>
      <c r="F1361" s="559"/>
      <c r="G1361" s="558"/>
      <c r="H1361" s="559"/>
      <c r="I1361" s="559"/>
      <c r="J1361" s="559"/>
      <c r="K1361" s="560"/>
      <c r="L1361" s="560"/>
      <c r="M1361" s="560"/>
    </row>
    <row r="1362" spans="3:13" s="338" customFormat="1">
      <c r="C1362" s="558"/>
      <c r="D1362" s="559"/>
      <c r="E1362" s="559"/>
      <c r="F1362" s="559"/>
      <c r="G1362" s="558"/>
      <c r="H1362" s="559"/>
      <c r="I1362" s="559"/>
      <c r="J1362" s="559"/>
      <c r="K1362" s="560"/>
      <c r="L1362" s="560"/>
      <c r="M1362" s="560"/>
    </row>
    <row r="1363" spans="3:13" s="338" customFormat="1">
      <c r="C1363" s="558"/>
      <c r="D1363" s="559"/>
      <c r="E1363" s="559"/>
      <c r="F1363" s="559"/>
      <c r="G1363" s="558"/>
      <c r="H1363" s="559"/>
      <c r="I1363" s="559"/>
      <c r="J1363" s="559"/>
      <c r="K1363" s="560"/>
      <c r="L1363" s="560"/>
      <c r="M1363" s="560"/>
    </row>
    <row r="1364" spans="3:13" s="338" customFormat="1">
      <c r="C1364" s="558"/>
      <c r="D1364" s="559"/>
      <c r="E1364" s="559"/>
      <c r="F1364" s="559"/>
      <c r="G1364" s="558"/>
      <c r="H1364" s="559"/>
      <c r="I1364" s="559"/>
      <c r="J1364" s="559"/>
      <c r="K1364" s="560"/>
      <c r="L1364" s="560"/>
      <c r="M1364" s="560"/>
    </row>
    <row r="1365" spans="3:13" s="338" customFormat="1">
      <c r="C1365" s="558"/>
      <c r="D1365" s="559"/>
      <c r="E1365" s="559"/>
      <c r="F1365" s="559"/>
      <c r="G1365" s="558"/>
      <c r="H1365" s="559"/>
      <c r="I1365" s="559"/>
      <c r="J1365" s="559"/>
      <c r="K1365" s="560"/>
      <c r="L1365" s="560"/>
      <c r="M1365" s="560"/>
    </row>
    <row r="1366" spans="3:13" s="338" customFormat="1">
      <c r="C1366" s="558"/>
      <c r="D1366" s="559"/>
      <c r="E1366" s="559"/>
      <c r="F1366" s="559"/>
      <c r="G1366" s="558"/>
      <c r="H1366" s="559"/>
      <c r="I1366" s="559"/>
      <c r="J1366" s="559"/>
      <c r="K1366" s="560"/>
      <c r="L1366" s="560"/>
      <c r="M1366" s="560"/>
    </row>
    <row r="1367" spans="3:13" s="338" customFormat="1">
      <c r="C1367" s="558"/>
      <c r="D1367" s="559"/>
      <c r="E1367" s="559"/>
      <c r="F1367" s="559"/>
      <c r="G1367" s="558"/>
      <c r="H1367" s="559"/>
      <c r="I1367" s="559"/>
      <c r="J1367" s="559"/>
      <c r="K1367" s="560"/>
      <c r="L1367" s="560"/>
      <c r="M1367" s="560"/>
    </row>
    <row r="1368" spans="3:13" s="338" customFormat="1">
      <c r="C1368" s="558"/>
      <c r="D1368" s="559"/>
      <c r="E1368" s="559"/>
      <c r="F1368" s="559"/>
      <c r="G1368" s="558"/>
      <c r="H1368" s="559"/>
      <c r="I1368" s="559"/>
      <c r="J1368" s="559"/>
      <c r="K1368" s="560"/>
      <c r="L1368" s="560"/>
      <c r="M1368" s="560"/>
    </row>
    <row r="1369" spans="3:13" s="338" customFormat="1">
      <c r="C1369" s="558"/>
      <c r="D1369" s="559"/>
      <c r="E1369" s="559"/>
      <c r="F1369" s="559"/>
      <c r="G1369" s="558"/>
      <c r="H1369" s="559"/>
      <c r="I1369" s="559"/>
      <c r="J1369" s="559"/>
      <c r="K1369" s="560"/>
      <c r="L1369" s="560"/>
      <c r="M1369" s="560"/>
    </row>
    <row r="1370" spans="3:13" s="338" customFormat="1">
      <c r="C1370" s="558"/>
      <c r="D1370" s="559"/>
      <c r="E1370" s="559"/>
      <c r="F1370" s="559"/>
      <c r="G1370" s="558"/>
      <c r="H1370" s="559"/>
      <c r="I1370" s="559"/>
      <c r="J1370" s="559"/>
      <c r="K1370" s="560"/>
      <c r="L1370" s="560"/>
      <c r="M1370" s="560"/>
    </row>
    <row r="1371" spans="3:13" s="338" customFormat="1">
      <c r="C1371" s="558"/>
      <c r="D1371" s="559"/>
      <c r="E1371" s="559"/>
      <c r="F1371" s="559"/>
      <c r="G1371" s="558"/>
      <c r="H1371" s="559"/>
      <c r="I1371" s="559"/>
      <c r="J1371" s="559"/>
      <c r="K1371" s="560"/>
      <c r="L1371" s="560"/>
      <c r="M1371" s="560"/>
    </row>
    <row r="1372" spans="3:13" s="338" customFormat="1">
      <c r="C1372" s="558"/>
      <c r="D1372" s="559"/>
      <c r="E1372" s="559"/>
      <c r="F1372" s="559"/>
      <c r="G1372" s="558"/>
      <c r="H1372" s="559"/>
      <c r="I1372" s="559"/>
      <c r="J1372" s="559"/>
      <c r="K1372" s="560"/>
      <c r="L1372" s="560"/>
      <c r="M1372" s="560"/>
    </row>
    <row r="1373" spans="3:13" s="338" customFormat="1">
      <c r="C1373" s="558"/>
      <c r="D1373" s="559"/>
      <c r="E1373" s="559"/>
      <c r="F1373" s="559"/>
      <c r="G1373" s="558"/>
      <c r="H1373" s="559"/>
      <c r="I1373" s="559"/>
      <c r="J1373" s="559"/>
      <c r="K1373" s="560"/>
      <c r="L1373" s="560"/>
      <c r="M1373" s="560"/>
    </row>
    <row r="1374" spans="3:13" s="338" customFormat="1">
      <c r="C1374" s="558"/>
      <c r="D1374" s="559"/>
      <c r="E1374" s="559"/>
      <c r="F1374" s="559"/>
      <c r="G1374" s="558"/>
      <c r="H1374" s="559"/>
      <c r="I1374" s="559"/>
      <c r="J1374" s="559"/>
      <c r="K1374" s="560"/>
      <c r="L1374" s="560"/>
      <c r="M1374" s="560"/>
    </row>
    <row r="1375" spans="3:13" s="338" customFormat="1">
      <c r="C1375" s="558"/>
      <c r="D1375" s="559"/>
      <c r="E1375" s="559"/>
      <c r="F1375" s="559"/>
      <c r="G1375" s="558"/>
      <c r="H1375" s="559"/>
      <c r="I1375" s="559"/>
      <c r="J1375" s="559"/>
      <c r="K1375" s="560"/>
      <c r="L1375" s="560"/>
      <c r="M1375" s="560"/>
    </row>
    <row r="1376" spans="3:13" s="338" customFormat="1">
      <c r="C1376" s="558"/>
      <c r="D1376" s="559"/>
      <c r="E1376" s="559"/>
      <c r="F1376" s="559"/>
      <c r="G1376" s="558"/>
      <c r="H1376" s="559"/>
      <c r="I1376" s="559"/>
      <c r="J1376" s="559"/>
      <c r="K1376" s="560"/>
      <c r="L1376" s="560"/>
      <c r="M1376" s="560"/>
    </row>
    <row r="1377" spans="3:13" s="338" customFormat="1">
      <c r="C1377" s="558"/>
      <c r="D1377" s="559"/>
      <c r="E1377" s="559"/>
      <c r="F1377" s="559"/>
      <c r="G1377" s="558"/>
      <c r="H1377" s="559"/>
      <c r="I1377" s="559"/>
      <c r="J1377" s="559"/>
      <c r="K1377" s="560"/>
      <c r="L1377" s="560"/>
      <c r="M1377" s="560"/>
    </row>
    <row r="1378" spans="3:13" s="338" customFormat="1">
      <c r="C1378" s="558"/>
      <c r="D1378" s="559"/>
      <c r="E1378" s="559"/>
      <c r="F1378" s="559"/>
      <c r="G1378" s="558"/>
      <c r="H1378" s="559"/>
      <c r="I1378" s="559"/>
      <c r="J1378" s="559"/>
      <c r="K1378" s="560"/>
      <c r="L1378" s="560"/>
      <c r="M1378" s="560"/>
    </row>
    <row r="1379" spans="3:13" s="338" customFormat="1">
      <c r="C1379" s="558"/>
      <c r="D1379" s="559"/>
      <c r="E1379" s="559"/>
      <c r="F1379" s="559"/>
      <c r="G1379" s="558"/>
      <c r="H1379" s="559"/>
      <c r="I1379" s="559"/>
      <c r="J1379" s="559"/>
      <c r="K1379" s="560"/>
      <c r="L1379" s="560"/>
      <c r="M1379" s="560"/>
    </row>
    <row r="1380" spans="3:13" s="338" customFormat="1">
      <c r="C1380" s="558"/>
      <c r="D1380" s="559"/>
      <c r="E1380" s="559"/>
      <c r="F1380" s="559"/>
      <c r="G1380" s="558"/>
      <c r="H1380" s="559"/>
      <c r="I1380" s="559"/>
      <c r="J1380" s="559"/>
      <c r="K1380" s="560"/>
      <c r="L1380" s="560"/>
      <c r="M1380" s="560"/>
    </row>
    <row r="1381" spans="3:13" s="338" customFormat="1">
      <c r="C1381" s="558"/>
      <c r="D1381" s="559"/>
      <c r="E1381" s="559"/>
      <c r="F1381" s="559"/>
      <c r="G1381" s="558"/>
      <c r="H1381" s="559"/>
      <c r="I1381" s="559"/>
      <c r="J1381" s="559"/>
      <c r="K1381" s="560"/>
      <c r="L1381" s="560"/>
      <c r="M1381" s="560"/>
    </row>
    <row r="1382" spans="3:13" s="338" customFormat="1">
      <c r="C1382" s="558"/>
      <c r="D1382" s="559"/>
      <c r="E1382" s="559"/>
      <c r="F1382" s="559"/>
      <c r="G1382" s="558"/>
      <c r="H1382" s="559"/>
      <c r="I1382" s="559"/>
      <c r="J1382" s="559"/>
      <c r="K1382" s="560"/>
      <c r="L1382" s="560"/>
      <c r="M1382" s="560"/>
    </row>
    <row r="1383" spans="3:13" s="338" customFormat="1">
      <c r="C1383" s="558"/>
      <c r="D1383" s="559"/>
      <c r="E1383" s="559"/>
      <c r="F1383" s="559"/>
      <c r="G1383" s="558"/>
      <c r="H1383" s="559"/>
      <c r="I1383" s="559"/>
      <c r="J1383" s="559"/>
      <c r="K1383" s="560"/>
      <c r="L1383" s="560"/>
      <c r="M1383" s="560"/>
    </row>
    <row r="1384" spans="3:13" s="338" customFormat="1">
      <c r="C1384" s="558"/>
      <c r="D1384" s="559"/>
      <c r="E1384" s="559"/>
      <c r="F1384" s="559"/>
      <c r="G1384" s="558"/>
      <c r="H1384" s="559"/>
      <c r="I1384" s="559"/>
      <c r="J1384" s="559"/>
      <c r="K1384" s="560"/>
      <c r="L1384" s="560"/>
      <c r="M1384" s="560"/>
    </row>
    <row r="1385" spans="3:13" s="338" customFormat="1">
      <c r="C1385" s="558"/>
      <c r="D1385" s="559"/>
      <c r="E1385" s="559"/>
      <c r="F1385" s="559"/>
      <c r="G1385" s="558"/>
      <c r="H1385" s="559"/>
      <c r="I1385" s="559"/>
      <c r="J1385" s="559"/>
      <c r="K1385" s="560"/>
      <c r="L1385" s="560"/>
      <c r="M1385" s="560"/>
    </row>
    <row r="1386" spans="3:13" s="338" customFormat="1">
      <c r="C1386" s="558"/>
      <c r="D1386" s="559"/>
      <c r="E1386" s="559"/>
      <c r="F1386" s="559"/>
      <c r="G1386" s="558"/>
      <c r="H1386" s="559"/>
      <c r="I1386" s="559"/>
      <c r="J1386" s="559"/>
      <c r="K1386" s="560"/>
      <c r="L1386" s="560"/>
      <c r="M1386" s="560"/>
    </row>
    <row r="1387" spans="3:13" s="338" customFormat="1">
      <c r="C1387" s="558"/>
      <c r="D1387" s="559"/>
      <c r="E1387" s="559"/>
      <c r="F1387" s="559"/>
      <c r="G1387" s="558"/>
      <c r="H1387" s="559"/>
      <c r="I1387" s="559"/>
      <c r="J1387" s="559"/>
      <c r="K1387" s="560"/>
      <c r="L1387" s="560"/>
      <c r="M1387" s="560"/>
    </row>
    <row r="1388" spans="3:13" s="338" customFormat="1">
      <c r="C1388" s="558"/>
      <c r="D1388" s="559"/>
      <c r="E1388" s="559"/>
      <c r="F1388" s="559"/>
      <c r="G1388" s="558"/>
      <c r="H1388" s="559"/>
      <c r="I1388" s="559"/>
      <c r="J1388" s="559"/>
      <c r="K1388" s="560"/>
      <c r="L1388" s="560"/>
      <c r="M1388" s="560"/>
    </row>
    <row r="1389" spans="3:13" s="338" customFormat="1">
      <c r="C1389" s="558"/>
      <c r="D1389" s="559"/>
      <c r="E1389" s="559"/>
      <c r="F1389" s="559"/>
      <c r="G1389" s="558"/>
      <c r="H1389" s="559"/>
      <c r="I1389" s="559"/>
      <c r="J1389" s="559"/>
      <c r="K1389" s="560"/>
      <c r="L1389" s="560"/>
      <c r="M1389" s="560"/>
    </row>
    <row r="1390" spans="3:13" s="338" customFormat="1">
      <c r="C1390" s="558"/>
      <c r="D1390" s="559"/>
      <c r="E1390" s="559"/>
      <c r="F1390" s="559"/>
      <c r="G1390" s="558"/>
      <c r="H1390" s="559"/>
      <c r="I1390" s="559"/>
      <c r="J1390" s="559"/>
      <c r="K1390" s="560"/>
      <c r="L1390" s="560"/>
      <c r="M1390" s="560"/>
    </row>
    <row r="1391" spans="3:13" s="338" customFormat="1">
      <c r="C1391" s="558"/>
      <c r="D1391" s="559"/>
      <c r="E1391" s="559"/>
      <c r="F1391" s="559"/>
      <c r="G1391" s="558"/>
      <c r="H1391" s="559"/>
      <c r="I1391" s="559"/>
      <c r="J1391" s="559"/>
      <c r="K1391" s="560"/>
      <c r="L1391" s="560"/>
      <c r="M1391" s="560"/>
    </row>
    <row r="1392" spans="3:13" s="338" customFormat="1">
      <c r="C1392" s="558"/>
      <c r="D1392" s="559"/>
      <c r="E1392" s="559"/>
      <c r="F1392" s="559"/>
      <c r="G1392" s="558"/>
      <c r="H1392" s="559"/>
      <c r="I1392" s="559"/>
      <c r="J1392" s="559"/>
      <c r="K1392" s="560"/>
      <c r="L1392" s="560"/>
      <c r="M1392" s="560"/>
    </row>
    <row r="1393" spans="3:13" s="338" customFormat="1">
      <c r="C1393" s="558"/>
      <c r="D1393" s="559"/>
      <c r="E1393" s="559"/>
      <c r="F1393" s="559"/>
      <c r="G1393" s="558"/>
      <c r="H1393" s="559"/>
      <c r="I1393" s="559"/>
      <c r="J1393" s="559"/>
      <c r="K1393" s="560"/>
      <c r="L1393" s="560"/>
      <c r="M1393" s="560"/>
    </row>
    <row r="1394" spans="3:13" s="338" customFormat="1">
      <c r="C1394" s="558"/>
      <c r="D1394" s="559"/>
      <c r="E1394" s="559"/>
      <c r="F1394" s="559"/>
      <c r="G1394" s="558"/>
      <c r="H1394" s="559"/>
      <c r="I1394" s="559"/>
      <c r="J1394" s="559"/>
      <c r="K1394" s="560"/>
      <c r="L1394" s="560"/>
      <c r="M1394" s="560"/>
    </row>
    <row r="1395" spans="3:13" s="338" customFormat="1">
      <c r="C1395" s="558"/>
      <c r="D1395" s="559"/>
      <c r="E1395" s="559"/>
      <c r="F1395" s="559"/>
      <c r="G1395" s="558"/>
      <c r="H1395" s="559"/>
      <c r="I1395" s="559"/>
      <c r="J1395" s="559"/>
      <c r="K1395" s="560"/>
      <c r="L1395" s="560"/>
      <c r="M1395" s="560"/>
    </row>
    <row r="1396" spans="3:13" s="338" customFormat="1">
      <c r="C1396" s="558"/>
      <c r="D1396" s="559"/>
      <c r="E1396" s="559"/>
      <c r="F1396" s="559"/>
      <c r="G1396" s="558"/>
      <c r="H1396" s="559"/>
      <c r="I1396" s="559"/>
      <c r="J1396" s="559"/>
      <c r="K1396" s="560"/>
      <c r="L1396" s="560"/>
      <c r="M1396" s="560"/>
    </row>
    <row r="1397" spans="3:13" s="338" customFormat="1">
      <c r="C1397" s="558"/>
      <c r="D1397" s="559"/>
      <c r="E1397" s="559"/>
      <c r="F1397" s="559"/>
      <c r="G1397" s="558"/>
      <c r="H1397" s="559"/>
      <c r="I1397" s="559"/>
      <c r="J1397" s="559"/>
      <c r="K1397" s="560"/>
      <c r="L1397" s="560"/>
      <c r="M1397" s="560"/>
    </row>
    <row r="1398" spans="3:13" s="338" customFormat="1">
      <c r="C1398" s="558"/>
      <c r="D1398" s="559"/>
      <c r="E1398" s="559"/>
      <c r="F1398" s="559"/>
      <c r="G1398" s="558"/>
      <c r="H1398" s="559"/>
      <c r="I1398" s="559"/>
      <c r="J1398" s="559"/>
      <c r="K1398" s="560"/>
      <c r="L1398" s="560"/>
      <c r="M1398" s="560"/>
    </row>
    <row r="1399" spans="3:13" s="338" customFormat="1">
      <c r="C1399" s="558"/>
      <c r="D1399" s="559"/>
      <c r="E1399" s="559"/>
      <c r="F1399" s="559"/>
      <c r="G1399" s="558"/>
      <c r="H1399" s="559"/>
      <c r="I1399" s="559"/>
      <c r="J1399" s="559"/>
      <c r="K1399" s="560"/>
      <c r="L1399" s="560"/>
      <c r="M1399" s="560"/>
    </row>
    <row r="1400" spans="3:13" s="338" customFormat="1">
      <c r="C1400" s="558"/>
      <c r="D1400" s="559"/>
      <c r="E1400" s="559"/>
      <c r="F1400" s="559"/>
      <c r="G1400" s="558"/>
      <c r="H1400" s="559"/>
      <c r="I1400" s="559"/>
      <c r="J1400" s="559"/>
      <c r="K1400" s="560"/>
      <c r="L1400" s="560"/>
      <c r="M1400" s="560"/>
    </row>
    <row r="1401" spans="3:13" s="338" customFormat="1">
      <c r="C1401" s="558"/>
      <c r="D1401" s="559"/>
      <c r="E1401" s="559"/>
      <c r="F1401" s="559"/>
      <c r="G1401" s="558"/>
      <c r="H1401" s="559"/>
      <c r="I1401" s="559"/>
      <c r="J1401" s="559"/>
      <c r="K1401" s="560"/>
      <c r="L1401" s="560"/>
      <c r="M1401" s="560"/>
    </row>
    <row r="1402" spans="3:13" s="338" customFormat="1">
      <c r="C1402" s="558"/>
      <c r="D1402" s="559"/>
      <c r="E1402" s="559"/>
      <c r="F1402" s="559"/>
      <c r="G1402" s="558"/>
      <c r="H1402" s="559"/>
      <c r="I1402" s="559"/>
      <c r="J1402" s="559"/>
      <c r="K1402" s="560"/>
      <c r="L1402" s="560"/>
      <c r="M1402" s="560"/>
    </row>
    <row r="1403" spans="3:13" s="338" customFormat="1">
      <c r="C1403" s="558"/>
      <c r="D1403" s="559"/>
      <c r="E1403" s="559"/>
      <c r="F1403" s="559"/>
      <c r="G1403" s="558"/>
      <c r="H1403" s="559"/>
      <c r="I1403" s="559"/>
      <c r="J1403" s="559"/>
      <c r="K1403" s="560"/>
      <c r="L1403" s="560"/>
      <c r="M1403" s="560"/>
    </row>
    <row r="1404" spans="3:13" s="338" customFormat="1">
      <c r="C1404" s="558"/>
      <c r="D1404" s="559"/>
      <c r="E1404" s="559"/>
      <c r="F1404" s="559"/>
      <c r="G1404" s="558"/>
      <c r="H1404" s="559"/>
      <c r="I1404" s="559"/>
      <c r="J1404" s="559"/>
      <c r="K1404" s="560"/>
      <c r="L1404" s="560"/>
      <c r="M1404" s="560"/>
    </row>
    <row r="1405" spans="3:13" s="338" customFormat="1">
      <c r="C1405" s="558"/>
      <c r="D1405" s="559"/>
      <c r="E1405" s="559"/>
      <c r="F1405" s="559"/>
      <c r="G1405" s="558"/>
      <c r="H1405" s="559"/>
      <c r="I1405" s="559"/>
      <c r="J1405" s="559"/>
      <c r="K1405" s="560"/>
      <c r="L1405" s="560"/>
      <c r="M1405" s="560"/>
    </row>
    <row r="1406" spans="3:13" s="338" customFormat="1">
      <c r="C1406" s="558"/>
      <c r="D1406" s="559"/>
      <c r="E1406" s="559"/>
      <c r="F1406" s="559"/>
      <c r="G1406" s="558"/>
      <c r="H1406" s="559"/>
      <c r="I1406" s="559"/>
      <c r="J1406" s="559"/>
      <c r="K1406" s="560"/>
      <c r="L1406" s="560"/>
      <c r="M1406" s="560"/>
    </row>
    <row r="1407" spans="3:13" s="338" customFormat="1">
      <c r="C1407" s="558"/>
      <c r="D1407" s="559"/>
      <c r="E1407" s="559"/>
      <c r="F1407" s="559"/>
      <c r="G1407" s="558"/>
      <c r="H1407" s="559"/>
      <c r="I1407" s="559"/>
      <c r="J1407" s="559"/>
      <c r="K1407" s="560"/>
      <c r="L1407" s="560"/>
      <c r="M1407" s="560"/>
    </row>
    <row r="1408" spans="3:13" s="338" customFormat="1">
      <c r="C1408" s="558"/>
      <c r="D1408" s="559"/>
      <c r="E1408" s="559"/>
      <c r="F1408" s="559"/>
      <c r="G1408" s="558"/>
      <c r="H1408" s="559"/>
      <c r="I1408" s="559"/>
      <c r="J1408" s="559"/>
      <c r="K1408" s="560"/>
      <c r="L1408" s="560"/>
      <c r="M1408" s="560"/>
    </row>
    <row r="1409" spans="3:13" s="338" customFormat="1">
      <c r="C1409" s="558"/>
      <c r="D1409" s="559"/>
      <c r="E1409" s="559"/>
      <c r="F1409" s="559"/>
      <c r="G1409" s="558"/>
      <c r="H1409" s="559"/>
      <c r="I1409" s="559"/>
      <c r="J1409" s="559"/>
      <c r="K1409" s="560"/>
      <c r="L1409" s="560"/>
      <c r="M1409" s="560"/>
    </row>
    <row r="1410" spans="3:13" s="338" customFormat="1">
      <c r="C1410" s="558"/>
      <c r="D1410" s="559"/>
      <c r="E1410" s="559"/>
      <c r="F1410" s="559"/>
      <c r="G1410" s="558"/>
      <c r="H1410" s="559"/>
      <c r="I1410" s="559"/>
      <c r="J1410" s="559"/>
      <c r="K1410" s="560"/>
      <c r="L1410" s="560"/>
      <c r="M1410" s="560"/>
    </row>
    <row r="1411" spans="3:13" s="338" customFormat="1">
      <c r="C1411" s="558"/>
      <c r="D1411" s="559"/>
      <c r="E1411" s="559"/>
      <c r="F1411" s="559"/>
      <c r="G1411" s="558"/>
      <c r="H1411" s="559"/>
      <c r="I1411" s="559"/>
      <c r="J1411" s="559"/>
      <c r="K1411" s="560"/>
      <c r="L1411" s="560"/>
      <c r="M1411" s="560"/>
    </row>
    <row r="1412" spans="3:13" s="338" customFormat="1">
      <c r="C1412" s="558"/>
      <c r="D1412" s="559"/>
      <c r="E1412" s="559"/>
      <c r="F1412" s="559"/>
      <c r="G1412" s="558"/>
      <c r="H1412" s="559"/>
      <c r="I1412" s="559"/>
      <c r="J1412" s="559"/>
      <c r="K1412" s="560"/>
      <c r="L1412" s="560"/>
      <c r="M1412" s="560"/>
    </row>
    <row r="1413" spans="3:13" s="338" customFormat="1">
      <c r="C1413" s="558"/>
      <c r="D1413" s="559"/>
      <c r="E1413" s="559"/>
      <c r="F1413" s="559"/>
      <c r="G1413" s="558"/>
      <c r="H1413" s="559"/>
      <c r="I1413" s="559"/>
      <c r="J1413" s="559"/>
      <c r="K1413" s="560"/>
      <c r="L1413" s="560"/>
      <c r="M1413" s="560"/>
    </row>
    <row r="1414" spans="3:13" s="338" customFormat="1">
      <c r="C1414" s="558"/>
      <c r="D1414" s="559"/>
      <c r="E1414" s="559"/>
      <c r="F1414" s="559"/>
      <c r="G1414" s="558"/>
      <c r="H1414" s="559"/>
      <c r="I1414" s="559"/>
      <c r="J1414" s="559"/>
      <c r="K1414" s="560"/>
      <c r="L1414" s="560"/>
      <c r="M1414" s="560"/>
    </row>
    <row r="1415" spans="3:13" s="338" customFormat="1">
      <c r="C1415" s="558"/>
      <c r="D1415" s="559"/>
      <c r="E1415" s="559"/>
      <c r="F1415" s="559"/>
      <c r="G1415" s="558"/>
      <c r="H1415" s="559"/>
      <c r="I1415" s="559"/>
      <c r="J1415" s="559"/>
      <c r="K1415" s="560"/>
      <c r="L1415" s="560"/>
      <c r="M1415" s="560"/>
    </row>
    <row r="1416" spans="3:13" s="338" customFormat="1">
      <c r="C1416" s="558"/>
      <c r="D1416" s="559"/>
      <c r="E1416" s="559"/>
      <c r="F1416" s="559"/>
      <c r="G1416" s="558"/>
      <c r="H1416" s="559"/>
      <c r="I1416" s="559"/>
      <c r="J1416" s="559"/>
      <c r="K1416" s="560"/>
      <c r="L1416" s="560"/>
      <c r="M1416" s="560"/>
    </row>
    <row r="1417" spans="3:13" s="338" customFormat="1">
      <c r="C1417" s="558"/>
      <c r="D1417" s="559"/>
      <c r="E1417" s="559"/>
      <c r="F1417" s="559"/>
      <c r="G1417" s="558"/>
      <c r="H1417" s="559"/>
      <c r="I1417" s="559"/>
      <c r="J1417" s="559"/>
      <c r="K1417" s="560"/>
      <c r="L1417" s="560"/>
      <c r="M1417" s="560"/>
    </row>
    <row r="1418" spans="3:13" s="338" customFormat="1">
      <c r="C1418" s="558"/>
      <c r="D1418" s="559"/>
      <c r="E1418" s="559"/>
      <c r="F1418" s="559"/>
      <c r="G1418" s="558"/>
      <c r="H1418" s="559"/>
      <c r="I1418" s="559"/>
      <c r="J1418" s="559"/>
      <c r="K1418" s="560"/>
      <c r="L1418" s="560"/>
      <c r="M1418" s="560"/>
    </row>
    <row r="1419" spans="3:13" s="338" customFormat="1">
      <c r="C1419" s="558"/>
      <c r="D1419" s="559"/>
      <c r="E1419" s="559"/>
      <c r="F1419" s="559"/>
      <c r="G1419" s="558"/>
      <c r="H1419" s="559"/>
      <c r="I1419" s="559"/>
      <c r="J1419" s="559"/>
      <c r="K1419" s="560"/>
      <c r="L1419" s="560"/>
      <c r="M1419" s="560"/>
    </row>
    <row r="1420" spans="3:13" s="338" customFormat="1">
      <c r="C1420" s="558"/>
      <c r="D1420" s="559"/>
      <c r="E1420" s="559"/>
      <c r="F1420" s="559"/>
      <c r="G1420" s="558"/>
      <c r="H1420" s="559"/>
      <c r="I1420" s="559"/>
      <c r="J1420" s="559"/>
      <c r="K1420" s="560"/>
      <c r="L1420" s="560"/>
      <c r="M1420" s="560"/>
    </row>
    <row r="1421" spans="3:13" s="338" customFormat="1">
      <c r="C1421" s="558"/>
      <c r="D1421" s="559"/>
      <c r="E1421" s="559"/>
      <c r="F1421" s="559"/>
      <c r="G1421" s="558"/>
      <c r="H1421" s="559"/>
      <c r="I1421" s="559"/>
      <c r="J1421" s="559"/>
      <c r="K1421" s="560"/>
      <c r="L1421" s="560"/>
      <c r="M1421" s="560"/>
    </row>
    <row r="1422" spans="3:13" s="338" customFormat="1">
      <c r="C1422" s="558"/>
      <c r="D1422" s="559"/>
      <c r="E1422" s="559"/>
      <c r="F1422" s="559"/>
      <c r="G1422" s="558"/>
      <c r="H1422" s="559"/>
      <c r="I1422" s="559"/>
      <c r="J1422" s="559"/>
      <c r="K1422" s="560"/>
      <c r="L1422" s="560"/>
      <c r="M1422" s="560"/>
    </row>
    <row r="1423" spans="3:13" s="338" customFormat="1">
      <c r="C1423" s="558"/>
      <c r="D1423" s="559"/>
      <c r="E1423" s="559"/>
      <c r="F1423" s="559"/>
      <c r="G1423" s="558"/>
      <c r="H1423" s="559"/>
      <c r="I1423" s="559"/>
      <c r="J1423" s="559"/>
      <c r="K1423" s="560"/>
      <c r="L1423" s="560"/>
      <c r="M1423" s="560"/>
    </row>
    <row r="1424" spans="3:13" s="338" customFormat="1">
      <c r="C1424" s="558"/>
      <c r="D1424" s="559"/>
      <c r="E1424" s="559"/>
      <c r="F1424" s="559"/>
      <c r="G1424" s="558"/>
      <c r="H1424" s="559"/>
      <c r="I1424" s="559"/>
      <c r="J1424" s="559"/>
      <c r="K1424" s="560"/>
      <c r="L1424" s="560"/>
      <c r="M1424" s="560"/>
    </row>
    <row r="1425" spans="3:13" s="338" customFormat="1">
      <c r="C1425" s="558"/>
      <c r="D1425" s="559"/>
      <c r="E1425" s="559"/>
      <c r="F1425" s="559"/>
      <c r="G1425" s="558"/>
      <c r="H1425" s="559"/>
      <c r="I1425" s="559"/>
      <c r="J1425" s="559"/>
      <c r="K1425" s="560"/>
      <c r="L1425" s="560"/>
      <c r="M1425" s="560"/>
    </row>
    <row r="1426" spans="3:13" s="338" customFormat="1">
      <c r="C1426" s="558"/>
      <c r="D1426" s="559"/>
      <c r="E1426" s="559"/>
      <c r="F1426" s="559"/>
      <c r="G1426" s="558"/>
      <c r="H1426" s="559"/>
      <c r="I1426" s="559"/>
      <c r="J1426" s="559"/>
      <c r="K1426" s="560"/>
      <c r="L1426" s="560"/>
      <c r="M1426" s="560"/>
    </row>
    <row r="1427" spans="3:13" s="338" customFormat="1">
      <c r="C1427" s="558"/>
      <c r="D1427" s="559"/>
      <c r="E1427" s="559"/>
      <c r="F1427" s="559"/>
      <c r="G1427" s="558"/>
      <c r="H1427" s="559"/>
      <c r="I1427" s="559"/>
      <c r="J1427" s="559"/>
      <c r="K1427" s="560"/>
      <c r="L1427" s="560"/>
      <c r="M1427" s="560"/>
    </row>
    <row r="1428" spans="3:13" s="338" customFormat="1">
      <c r="C1428" s="558"/>
      <c r="D1428" s="559"/>
      <c r="E1428" s="559"/>
      <c r="F1428" s="559"/>
      <c r="G1428" s="558"/>
      <c r="H1428" s="559"/>
      <c r="I1428" s="559"/>
      <c r="J1428" s="559"/>
      <c r="K1428" s="560"/>
      <c r="L1428" s="560"/>
      <c r="M1428" s="560"/>
    </row>
    <row r="1429" spans="3:13" s="338" customFormat="1">
      <c r="C1429" s="558"/>
      <c r="D1429" s="559"/>
      <c r="E1429" s="559"/>
      <c r="F1429" s="559"/>
      <c r="G1429" s="558"/>
      <c r="H1429" s="559"/>
      <c r="I1429" s="559"/>
      <c r="J1429" s="559"/>
      <c r="K1429" s="560"/>
      <c r="L1429" s="560"/>
      <c r="M1429" s="560"/>
    </row>
    <row r="1430" spans="3:13" s="338" customFormat="1">
      <c r="C1430" s="558"/>
      <c r="D1430" s="559"/>
      <c r="E1430" s="559"/>
      <c r="F1430" s="559"/>
      <c r="G1430" s="558"/>
      <c r="H1430" s="559"/>
      <c r="I1430" s="559"/>
      <c r="J1430" s="559"/>
      <c r="K1430" s="560"/>
      <c r="L1430" s="560"/>
      <c r="M1430" s="560"/>
    </row>
    <row r="1431" spans="3:13" s="338" customFormat="1">
      <c r="C1431" s="558"/>
      <c r="D1431" s="559"/>
      <c r="E1431" s="559"/>
      <c r="F1431" s="559"/>
      <c r="G1431" s="558"/>
      <c r="H1431" s="559"/>
      <c r="I1431" s="559"/>
      <c r="J1431" s="559"/>
      <c r="K1431" s="560"/>
      <c r="L1431" s="560"/>
      <c r="M1431" s="560"/>
    </row>
    <row r="1432" spans="3:13" s="338" customFormat="1">
      <c r="C1432" s="558"/>
      <c r="D1432" s="559"/>
      <c r="E1432" s="559"/>
      <c r="F1432" s="559"/>
      <c r="G1432" s="558"/>
      <c r="H1432" s="559"/>
      <c r="I1432" s="559"/>
      <c r="J1432" s="559"/>
      <c r="K1432" s="560"/>
      <c r="L1432" s="560"/>
      <c r="M1432" s="560"/>
    </row>
    <row r="1433" spans="3:13" s="338" customFormat="1">
      <c r="C1433" s="558"/>
      <c r="D1433" s="559"/>
      <c r="E1433" s="559"/>
      <c r="F1433" s="559"/>
      <c r="G1433" s="558"/>
      <c r="H1433" s="559"/>
      <c r="I1433" s="559"/>
      <c r="J1433" s="559"/>
      <c r="K1433" s="560"/>
      <c r="L1433" s="560"/>
      <c r="M1433" s="560"/>
    </row>
    <row r="1434" spans="3:13" s="338" customFormat="1">
      <c r="C1434" s="558"/>
      <c r="D1434" s="559"/>
      <c r="E1434" s="559"/>
      <c r="F1434" s="559"/>
      <c r="G1434" s="558"/>
      <c r="H1434" s="559"/>
      <c r="I1434" s="559"/>
      <c r="J1434" s="559"/>
      <c r="K1434" s="560"/>
      <c r="L1434" s="560"/>
      <c r="M1434" s="560"/>
    </row>
    <row r="1435" spans="3:13" s="338" customFormat="1">
      <c r="C1435" s="558"/>
      <c r="D1435" s="559"/>
      <c r="E1435" s="559"/>
      <c r="F1435" s="559"/>
      <c r="G1435" s="558"/>
      <c r="H1435" s="559"/>
      <c r="I1435" s="559"/>
      <c r="J1435" s="559"/>
      <c r="K1435" s="560"/>
      <c r="L1435" s="560"/>
      <c r="M1435" s="560"/>
    </row>
    <row r="1436" spans="3:13" s="338" customFormat="1">
      <c r="C1436" s="558"/>
      <c r="D1436" s="559"/>
      <c r="E1436" s="559"/>
      <c r="F1436" s="559"/>
      <c r="G1436" s="558"/>
      <c r="H1436" s="559"/>
      <c r="I1436" s="559"/>
      <c r="J1436" s="559"/>
      <c r="K1436" s="560"/>
      <c r="L1436" s="560"/>
      <c r="M1436" s="560"/>
    </row>
    <row r="1437" spans="3:13" s="338" customFormat="1">
      <c r="C1437" s="558"/>
      <c r="D1437" s="559"/>
      <c r="E1437" s="559"/>
      <c r="F1437" s="559"/>
      <c r="G1437" s="558"/>
      <c r="H1437" s="559"/>
      <c r="I1437" s="559"/>
      <c r="J1437" s="559"/>
      <c r="K1437" s="560"/>
      <c r="L1437" s="560"/>
      <c r="M1437" s="560"/>
    </row>
    <row r="1438" spans="3:13" s="338" customFormat="1">
      <c r="C1438" s="558"/>
      <c r="D1438" s="559"/>
      <c r="E1438" s="559"/>
      <c r="F1438" s="559"/>
      <c r="G1438" s="558"/>
      <c r="H1438" s="559"/>
      <c r="I1438" s="559"/>
      <c r="J1438" s="559"/>
      <c r="K1438" s="560"/>
      <c r="L1438" s="560"/>
      <c r="M1438" s="560"/>
    </row>
    <row r="1439" spans="3:13" s="338" customFormat="1">
      <c r="C1439" s="558"/>
      <c r="D1439" s="559"/>
      <c r="E1439" s="559"/>
      <c r="F1439" s="559"/>
      <c r="G1439" s="558"/>
      <c r="H1439" s="559"/>
      <c r="I1439" s="559"/>
      <c r="J1439" s="559"/>
      <c r="K1439" s="560"/>
      <c r="L1439" s="560"/>
      <c r="M1439" s="560"/>
    </row>
    <row r="1440" spans="3:13" s="338" customFormat="1">
      <c r="C1440" s="558"/>
      <c r="D1440" s="559"/>
      <c r="E1440" s="559"/>
      <c r="F1440" s="559"/>
      <c r="G1440" s="558"/>
      <c r="H1440" s="559"/>
      <c r="I1440" s="559"/>
      <c r="J1440" s="559"/>
      <c r="K1440" s="560"/>
      <c r="L1440" s="560"/>
      <c r="M1440" s="560"/>
    </row>
    <row r="1441" spans="3:13" s="338" customFormat="1">
      <c r="C1441" s="558"/>
      <c r="D1441" s="559"/>
      <c r="E1441" s="559"/>
      <c r="F1441" s="559"/>
      <c r="G1441" s="558"/>
      <c r="H1441" s="559"/>
      <c r="I1441" s="559"/>
      <c r="J1441" s="559"/>
      <c r="K1441" s="560"/>
      <c r="L1441" s="560"/>
      <c r="M1441" s="560"/>
    </row>
    <row r="1442" spans="3:13" s="338" customFormat="1">
      <c r="C1442" s="558"/>
      <c r="D1442" s="559"/>
      <c r="E1442" s="559"/>
      <c r="F1442" s="559"/>
      <c r="G1442" s="558"/>
      <c r="H1442" s="559"/>
      <c r="I1442" s="559"/>
      <c r="J1442" s="559"/>
      <c r="K1442" s="560"/>
      <c r="L1442" s="560"/>
      <c r="M1442" s="560"/>
    </row>
    <row r="1443" spans="3:13" s="338" customFormat="1">
      <c r="C1443" s="558"/>
      <c r="D1443" s="559"/>
      <c r="E1443" s="559"/>
      <c r="F1443" s="559"/>
      <c r="G1443" s="558"/>
      <c r="H1443" s="559"/>
      <c r="I1443" s="559"/>
      <c r="J1443" s="559"/>
      <c r="K1443" s="560"/>
      <c r="L1443" s="560"/>
      <c r="M1443" s="560"/>
    </row>
    <row r="1444" spans="3:13" s="338" customFormat="1">
      <c r="C1444" s="558"/>
      <c r="D1444" s="559"/>
      <c r="E1444" s="559"/>
      <c r="F1444" s="559"/>
      <c r="G1444" s="558"/>
      <c r="H1444" s="559"/>
      <c r="I1444" s="559"/>
      <c r="J1444" s="559"/>
      <c r="K1444" s="560"/>
      <c r="L1444" s="560"/>
      <c r="M1444" s="560"/>
    </row>
    <row r="1445" spans="3:13" s="338" customFormat="1">
      <c r="C1445" s="558"/>
      <c r="D1445" s="559"/>
      <c r="E1445" s="559"/>
      <c r="F1445" s="559"/>
      <c r="G1445" s="558"/>
      <c r="H1445" s="559"/>
      <c r="I1445" s="559"/>
      <c r="J1445" s="559"/>
      <c r="K1445" s="560"/>
      <c r="L1445" s="560"/>
      <c r="M1445" s="560"/>
    </row>
    <row r="1446" spans="3:13" s="338" customFormat="1">
      <c r="C1446" s="558"/>
      <c r="D1446" s="559"/>
      <c r="E1446" s="559"/>
      <c r="F1446" s="559"/>
      <c r="G1446" s="558"/>
      <c r="H1446" s="559"/>
      <c r="I1446" s="559"/>
      <c r="J1446" s="559"/>
      <c r="K1446" s="560"/>
      <c r="L1446" s="560"/>
      <c r="M1446" s="560"/>
    </row>
    <row r="1447" spans="3:13" s="338" customFormat="1">
      <c r="C1447" s="558"/>
      <c r="D1447" s="559"/>
      <c r="E1447" s="559"/>
      <c r="F1447" s="559"/>
      <c r="G1447" s="558"/>
      <c r="H1447" s="559"/>
      <c r="I1447" s="559"/>
      <c r="J1447" s="559"/>
      <c r="K1447" s="560"/>
      <c r="L1447" s="560"/>
      <c r="M1447" s="560"/>
    </row>
    <row r="1448" spans="3:13" s="338" customFormat="1">
      <c r="C1448" s="558"/>
      <c r="D1448" s="559"/>
      <c r="E1448" s="559"/>
      <c r="F1448" s="559"/>
      <c r="G1448" s="558"/>
      <c r="H1448" s="559"/>
      <c r="I1448" s="559"/>
      <c r="J1448" s="559"/>
      <c r="K1448" s="560"/>
      <c r="L1448" s="560"/>
      <c r="M1448" s="560"/>
    </row>
    <row r="1449" spans="3:13" s="338" customFormat="1">
      <c r="C1449" s="558"/>
      <c r="D1449" s="559"/>
      <c r="E1449" s="559"/>
      <c r="F1449" s="559"/>
      <c r="G1449" s="558"/>
      <c r="H1449" s="559"/>
      <c r="I1449" s="559"/>
      <c r="J1449" s="559"/>
      <c r="K1449" s="560"/>
      <c r="L1449" s="560"/>
      <c r="M1449" s="560"/>
    </row>
    <row r="1450" spans="3:13" s="338" customFormat="1">
      <c r="C1450" s="558"/>
      <c r="D1450" s="559"/>
      <c r="E1450" s="559"/>
      <c r="F1450" s="559"/>
      <c r="G1450" s="558"/>
      <c r="H1450" s="559"/>
      <c r="I1450" s="559"/>
      <c r="J1450" s="559"/>
      <c r="K1450" s="560"/>
      <c r="L1450" s="560"/>
      <c r="M1450" s="560"/>
    </row>
    <row r="1451" spans="3:13" s="338" customFormat="1">
      <c r="C1451" s="558"/>
      <c r="D1451" s="559"/>
      <c r="E1451" s="559"/>
      <c r="F1451" s="559"/>
      <c r="G1451" s="558"/>
      <c r="H1451" s="559"/>
      <c r="I1451" s="559"/>
      <c r="J1451" s="559"/>
      <c r="K1451" s="560"/>
      <c r="L1451" s="560"/>
      <c r="M1451" s="560"/>
    </row>
    <row r="1452" spans="3:13" s="338" customFormat="1">
      <c r="C1452" s="558"/>
      <c r="D1452" s="559"/>
      <c r="E1452" s="559"/>
      <c r="F1452" s="559"/>
      <c r="G1452" s="558"/>
      <c r="H1452" s="559"/>
      <c r="I1452" s="559"/>
      <c r="J1452" s="559"/>
      <c r="K1452" s="560"/>
      <c r="L1452" s="560"/>
      <c r="M1452" s="560"/>
    </row>
    <row r="1453" spans="3:13" s="338" customFormat="1">
      <c r="C1453" s="558"/>
      <c r="D1453" s="559"/>
      <c r="E1453" s="559"/>
      <c r="F1453" s="559"/>
      <c r="G1453" s="558"/>
      <c r="H1453" s="559"/>
      <c r="I1453" s="559"/>
      <c r="J1453" s="559"/>
      <c r="K1453" s="560"/>
      <c r="L1453" s="560"/>
      <c r="M1453" s="560"/>
    </row>
    <row r="1454" spans="3:13" s="338" customFormat="1">
      <c r="C1454" s="558"/>
      <c r="D1454" s="559"/>
      <c r="E1454" s="559"/>
      <c r="F1454" s="559"/>
      <c r="G1454" s="558"/>
      <c r="H1454" s="559"/>
      <c r="I1454" s="559"/>
      <c r="J1454" s="559"/>
      <c r="K1454" s="560"/>
      <c r="L1454" s="560"/>
      <c r="M1454" s="560"/>
    </row>
    <row r="1455" spans="3:13" s="338" customFormat="1">
      <c r="C1455" s="558"/>
      <c r="D1455" s="559"/>
      <c r="E1455" s="559"/>
      <c r="F1455" s="559"/>
      <c r="G1455" s="558"/>
      <c r="H1455" s="559"/>
      <c r="I1455" s="559"/>
      <c r="J1455" s="559"/>
      <c r="K1455" s="560"/>
      <c r="L1455" s="560"/>
      <c r="M1455" s="560"/>
    </row>
    <row r="1456" spans="3:13" s="338" customFormat="1">
      <c r="C1456" s="558"/>
      <c r="D1456" s="559"/>
      <c r="E1456" s="559"/>
      <c r="F1456" s="559"/>
      <c r="G1456" s="558"/>
      <c r="H1456" s="559"/>
      <c r="I1456" s="559"/>
      <c r="J1456" s="559"/>
      <c r="K1456" s="560"/>
      <c r="L1456" s="560"/>
      <c r="M1456" s="560"/>
    </row>
    <row r="1457" spans="3:13" s="338" customFormat="1">
      <c r="C1457" s="558"/>
      <c r="D1457" s="559"/>
      <c r="E1457" s="559"/>
      <c r="F1457" s="559"/>
      <c r="G1457" s="558"/>
      <c r="H1457" s="559"/>
      <c r="I1457" s="559"/>
      <c r="J1457" s="559"/>
      <c r="K1457" s="560"/>
      <c r="L1457" s="560"/>
      <c r="M1457" s="560"/>
    </row>
    <row r="1458" spans="3:13" s="338" customFormat="1">
      <c r="C1458" s="558"/>
      <c r="D1458" s="559"/>
      <c r="E1458" s="559"/>
      <c r="F1458" s="559"/>
      <c r="G1458" s="558"/>
      <c r="H1458" s="559"/>
      <c r="I1458" s="559"/>
      <c r="J1458" s="559"/>
      <c r="K1458" s="560"/>
      <c r="L1458" s="560"/>
      <c r="M1458" s="560"/>
    </row>
    <row r="1459" spans="3:13" s="338" customFormat="1">
      <c r="C1459" s="558"/>
      <c r="D1459" s="559"/>
      <c r="E1459" s="559"/>
      <c r="F1459" s="559"/>
      <c r="G1459" s="558"/>
      <c r="H1459" s="559"/>
      <c r="I1459" s="559"/>
      <c r="J1459" s="559"/>
      <c r="K1459" s="560"/>
      <c r="L1459" s="560"/>
      <c r="M1459" s="560"/>
    </row>
    <row r="1460" spans="3:13" s="338" customFormat="1">
      <c r="C1460" s="558"/>
      <c r="D1460" s="559"/>
      <c r="E1460" s="559"/>
      <c r="F1460" s="559"/>
      <c r="G1460" s="558"/>
      <c r="H1460" s="559"/>
      <c r="I1460" s="559"/>
      <c r="J1460" s="559"/>
      <c r="K1460" s="560"/>
      <c r="L1460" s="560"/>
      <c r="M1460" s="560"/>
    </row>
    <row r="1461" spans="3:13" s="338" customFormat="1">
      <c r="C1461" s="558"/>
      <c r="D1461" s="559"/>
      <c r="E1461" s="559"/>
      <c r="F1461" s="559"/>
      <c r="G1461" s="558"/>
      <c r="H1461" s="559"/>
      <c r="I1461" s="559"/>
      <c r="J1461" s="559"/>
      <c r="K1461" s="560"/>
      <c r="L1461" s="560"/>
      <c r="M1461" s="560"/>
    </row>
    <row r="1462" spans="3:13" s="338" customFormat="1">
      <c r="C1462" s="558"/>
      <c r="D1462" s="559"/>
      <c r="E1462" s="559"/>
      <c r="F1462" s="559"/>
      <c r="G1462" s="558"/>
      <c r="H1462" s="559"/>
      <c r="I1462" s="559"/>
      <c r="J1462" s="559"/>
      <c r="K1462" s="560"/>
      <c r="L1462" s="560"/>
      <c r="M1462" s="560"/>
    </row>
    <row r="1463" spans="3:13" s="338" customFormat="1">
      <c r="C1463" s="558"/>
      <c r="D1463" s="559"/>
      <c r="E1463" s="559"/>
      <c r="F1463" s="559"/>
      <c r="G1463" s="558"/>
      <c r="H1463" s="559"/>
      <c r="I1463" s="559"/>
      <c r="J1463" s="559"/>
      <c r="K1463" s="560"/>
      <c r="L1463" s="560"/>
      <c r="M1463" s="560"/>
    </row>
    <row r="1464" spans="3:13" s="338" customFormat="1">
      <c r="C1464" s="558"/>
      <c r="D1464" s="559"/>
      <c r="E1464" s="559"/>
      <c r="F1464" s="559"/>
      <c r="G1464" s="558"/>
      <c r="H1464" s="559"/>
      <c r="I1464" s="559"/>
      <c r="J1464" s="559"/>
      <c r="K1464" s="560"/>
      <c r="L1464" s="560"/>
      <c r="M1464" s="560"/>
    </row>
    <row r="1465" spans="3:13" s="338" customFormat="1">
      <c r="C1465" s="558"/>
      <c r="D1465" s="559"/>
      <c r="E1465" s="559"/>
      <c r="F1465" s="559"/>
      <c r="G1465" s="558"/>
      <c r="H1465" s="559"/>
      <c r="I1465" s="559"/>
      <c r="J1465" s="559"/>
      <c r="K1465" s="560"/>
      <c r="L1465" s="560"/>
      <c r="M1465" s="560"/>
    </row>
    <row r="1466" spans="3:13" s="338" customFormat="1">
      <c r="C1466" s="558"/>
      <c r="D1466" s="559"/>
      <c r="E1466" s="559"/>
      <c r="F1466" s="559"/>
      <c r="G1466" s="558"/>
      <c r="H1466" s="559"/>
      <c r="I1466" s="559"/>
      <c r="J1466" s="559"/>
      <c r="K1466" s="560"/>
      <c r="L1466" s="560"/>
      <c r="M1466" s="560"/>
    </row>
    <row r="1467" spans="3:13" s="338" customFormat="1">
      <c r="C1467" s="558"/>
      <c r="D1467" s="559"/>
      <c r="E1467" s="559"/>
      <c r="F1467" s="559"/>
      <c r="G1467" s="558"/>
      <c r="H1467" s="559"/>
      <c r="I1467" s="559"/>
      <c r="J1467" s="559"/>
      <c r="K1467" s="560"/>
      <c r="L1467" s="560"/>
      <c r="M1467" s="560"/>
    </row>
    <row r="1468" spans="3:13" s="338" customFormat="1">
      <c r="C1468" s="558"/>
      <c r="D1468" s="559"/>
      <c r="E1468" s="559"/>
      <c r="F1468" s="559"/>
      <c r="G1468" s="558"/>
      <c r="H1468" s="559"/>
      <c r="I1468" s="559"/>
      <c r="J1468" s="559"/>
      <c r="K1468" s="560"/>
      <c r="L1468" s="560"/>
      <c r="M1468" s="560"/>
    </row>
    <row r="1469" spans="3:13" s="338" customFormat="1">
      <c r="C1469" s="558"/>
      <c r="D1469" s="559"/>
      <c r="E1469" s="559"/>
      <c r="F1469" s="559"/>
      <c r="G1469" s="558"/>
      <c r="H1469" s="559"/>
      <c r="I1469" s="559"/>
      <c r="J1469" s="559"/>
      <c r="K1469" s="560"/>
      <c r="L1469" s="560"/>
      <c r="M1469" s="560"/>
    </row>
    <row r="1470" spans="3:13" s="338" customFormat="1">
      <c r="C1470" s="558"/>
      <c r="D1470" s="559"/>
      <c r="E1470" s="559"/>
      <c r="F1470" s="559"/>
      <c r="G1470" s="558"/>
      <c r="H1470" s="559"/>
      <c r="I1470" s="559"/>
      <c r="J1470" s="559"/>
      <c r="K1470" s="560"/>
      <c r="L1470" s="560"/>
      <c r="M1470" s="560"/>
    </row>
    <row r="1471" spans="3:13" s="338" customFormat="1">
      <c r="C1471" s="558"/>
      <c r="D1471" s="559"/>
      <c r="E1471" s="559"/>
      <c r="F1471" s="559"/>
      <c r="G1471" s="558"/>
      <c r="H1471" s="559"/>
      <c r="I1471" s="559"/>
      <c r="J1471" s="559"/>
      <c r="K1471" s="560"/>
      <c r="L1471" s="560"/>
      <c r="M1471" s="560"/>
    </row>
    <row r="1472" spans="3:13" s="338" customFormat="1">
      <c r="C1472" s="558"/>
      <c r="D1472" s="559"/>
      <c r="E1472" s="559"/>
      <c r="F1472" s="559"/>
      <c r="G1472" s="558"/>
      <c r="H1472" s="559"/>
      <c r="I1472" s="559"/>
      <c r="J1472" s="559"/>
      <c r="K1472" s="560"/>
      <c r="L1472" s="560"/>
      <c r="M1472" s="560"/>
    </row>
    <row r="1473" spans="3:13" s="338" customFormat="1">
      <c r="C1473" s="558"/>
      <c r="D1473" s="559"/>
      <c r="E1473" s="559"/>
      <c r="F1473" s="559"/>
      <c r="G1473" s="558"/>
      <c r="H1473" s="559"/>
      <c r="I1473" s="559"/>
      <c r="J1473" s="559"/>
      <c r="K1473" s="560"/>
      <c r="L1473" s="560"/>
      <c r="M1473" s="560"/>
    </row>
    <row r="1474" spans="3:13" s="338" customFormat="1">
      <c r="C1474" s="558"/>
      <c r="D1474" s="559"/>
      <c r="E1474" s="559"/>
      <c r="F1474" s="559"/>
      <c r="G1474" s="558"/>
      <c r="H1474" s="559"/>
      <c r="I1474" s="559"/>
      <c r="J1474" s="559"/>
      <c r="K1474" s="560"/>
      <c r="L1474" s="560"/>
      <c r="M1474" s="560"/>
    </row>
    <row r="1475" spans="3:13" s="338" customFormat="1">
      <c r="C1475" s="558"/>
      <c r="D1475" s="559"/>
      <c r="E1475" s="559"/>
      <c r="F1475" s="559"/>
      <c r="G1475" s="558"/>
      <c r="H1475" s="559"/>
      <c r="I1475" s="559"/>
      <c r="J1475" s="559"/>
      <c r="K1475" s="560"/>
      <c r="L1475" s="560"/>
      <c r="M1475" s="560"/>
    </row>
    <row r="1476" spans="3:13" s="338" customFormat="1">
      <c r="C1476" s="558"/>
      <c r="D1476" s="559"/>
      <c r="E1476" s="559"/>
      <c r="F1476" s="559"/>
      <c r="G1476" s="558"/>
      <c r="H1476" s="559"/>
      <c r="I1476" s="559"/>
      <c r="J1476" s="559"/>
      <c r="K1476" s="560"/>
      <c r="L1476" s="560"/>
      <c r="M1476" s="560"/>
    </row>
    <row r="1477" spans="3:13" s="338" customFormat="1">
      <c r="C1477" s="558"/>
      <c r="D1477" s="559"/>
      <c r="E1477" s="559"/>
      <c r="F1477" s="559"/>
      <c r="G1477" s="558"/>
      <c r="H1477" s="559"/>
      <c r="I1477" s="559"/>
      <c r="J1477" s="559"/>
      <c r="K1477" s="560"/>
      <c r="L1477" s="560"/>
      <c r="M1477" s="560"/>
    </row>
    <row r="1478" spans="3:13" s="338" customFormat="1">
      <c r="C1478" s="558"/>
      <c r="D1478" s="559"/>
      <c r="E1478" s="559"/>
      <c r="F1478" s="559"/>
      <c r="G1478" s="558"/>
      <c r="H1478" s="559"/>
      <c r="I1478" s="559"/>
      <c r="J1478" s="559"/>
      <c r="K1478" s="560"/>
      <c r="L1478" s="560"/>
      <c r="M1478" s="560"/>
    </row>
    <row r="1479" spans="3:13" s="338" customFormat="1">
      <c r="C1479" s="558"/>
      <c r="D1479" s="559"/>
      <c r="E1479" s="559"/>
      <c r="F1479" s="559"/>
      <c r="G1479" s="558"/>
      <c r="H1479" s="559"/>
      <c r="I1479" s="559"/>
      <c r="J1479" s="559"/>
      <c r="K1479" s="560"/>
      <c r="L1479" s="560"/>
      <c r="M1479" s="560"/>
    </row>
    <row r="1480" spans="3:13" s="338" customFormat="1">
      <c r="C1480" s="558"/>
      <c r="D1480" s="559"/>
      <c r="E1480" s="559"/>
      <c r="F1480" s="559"/>
      <c r="G1480" s="558"/>
      <c r="H1480" s="559"/>
      <c r="I1480" s="559"/>
      <c r="J1480" s="559"/>
      <c r="K1480" s="560"/>
      <c r="L1480" s="560"/>
      <c r="M1480" s="560"/>
    </row>
    <row r="1481" spans="3:13" s="338" customFormat="1">
      <c r="C1481" s="558"/>
      <c r="D1481" s="559"/>
      <c r="E1481" s="559"/>
      <c r="F1481" s="559"/>
      <c r="G1481" s="558"/>
      <c r="H1481" s="559"/>
      <c r="I1481" s="559"/>
      <c r="J1481" s="559"/>
      <c r="K1481" s="560"/>
      <c r="L1481" s="560"/>
      <c r="M1481" s="560"/>
    </row>
    <row r="1482" spans="3:13" s="338" customFormat="1">
      <c r="C1482" s="558"/>
      <c r="D1482" s="559"/>
      <c r="E1482" s="559"/>
      <c r="F1482" s="559"/>
      <c r="G1482" s="558"/>
      <c r="H1482" s="559"/>
      <c r="I1482" s="559"/>
      <c r="J1482" s="559"/>
      <c r="K1482" s="560"/>
      <c r="L1482" s="560"/>
      <c r="M1482" s="560"/>
    </row>
    <row r="1483" spans="3:13" s="338" customFormat="1">
      <c r="C1483" s="558"/>
      <c r="D1483" s="559"/>
      <c r="E1483" s="559"/>
      <c r="F1483" s="559"/>
      <c r="G1483" s="558"/>
      <c r="H1483" s="559"/>
      <c r="I1483" s="559"/>
      <c r="J1483" s="559"/>
      <c r="K1483" s="560"/>
      <c r="L1483" s="560"/>
      <c r="M1483" s="560"/>
    </row>
    <row r="1484" spans="3:13" s="338" customFormat="1">
      <c r="C1484" s="558"/>
      <c r="D1484" s="559"/>
      <c r="E1484" s="559"/>
      <c r="F1484" s="559"/>
      <c r="G1484" s="558"/>
      <c r="H1484" s="559"/>
      <c r="I1484" s="559"/>
      <c r="J1484" s="559"/>
      <c r="K1484" s="560"/>
      <c r="L1484" s="560"/>
      <c r="M1484" s="560"/>
    </row>
    <row r="1485" spans="3:13" s="338" customFormat="1">
      <c r="C1485" s="558"/>
      <c r="D1485" s="559"/>
      <c r="E1485" s="559"/>
      <c r="F1485" s="559"/>
      <c r="G1485" s="558"/>
      <c r="H1485" s="559"/>
      <c r="I1485" s="559"/>
      <c r="J1485" s="559"/>
      <c r="K1485" s="560"/>
      <c r="L1485" s="560"/>
      <c r="M1485" s="560"/>
    </row>
    <row r="1486" spans="3:13" s="338" customFormat="1">
      <c r="C1486" s="558"/>
      <c r="D1486" s="559"/>
      <c r="E1486" s="559"/>
      <c r="F1486" s="559"/>
      <c r="G1486" s="558"/>
      <c r="H1486" s="559"/>
      <c r="I1486" s="559"/>
      <c r="J1486" s="559"/>
      <c r="K1486" s="560"/>
      <c r="L1486" s="560"/>
      <c r="M1486" s="560"/>
    </row>
    <row r="1487" spans="3:13" s="338" customFormat="1">
      <c r="C1487" s="558"/>
      <c r="D1487" s="559"/>
      <c r="E1487" s="559"/>
      <c r="F1487" s="559"/>
      <c r="G1487" s="558"/>
      <c r="H1487" s="559"/>
      <c r="I1487" s="559"/>
      <c r="J1487" s="559"/>
      <c r="K1487" s="560"/>
      <c r="L1487" s="560"/>
      <c r="M1487" s="560"/>
    </row>
    <row r="1488" spans="3:13" s="338" customFormat="1">
      <c r="C1488" s="558"/>
      <c r="D1488" s="559"/>
      <c r="E1488" s="559"/>
      <c r="F1488" s="559"/>
      <c r="G1488" s="558"/>
      <c r="H1488" s="559"/>
      <c r="I1488" s="559"/>
      <c r="J1488" s="559"/>
      <c r="K1488" s="560"/>
      <c r="L1488" s="560"/>
      <c r="M1488" s="560"/>
    </row>
    <row r="1489" spans="3:13" s="338" customFormat="1">
      <c r="C1489" s="558"/>
      <c r="D1489" s="559"/>
      <c r="E1489" s="559"/>
      <c r="F1489" s="559"/>
      <c r="G1489" s="558"/>
      <c r="H1489" s="559"/>
      <c r="I1489" s="559"/>
      <c r="J1489" s="559"/>
      <c r="K1489" s="560"/>
      <c r="L1489" s="560"/>
      <c r="M1489" s="560"/>
    </row>
    <row r="1490" spans="3:13" s="338" customFormat="1">
      <c r="C1490" s="558"/>
      <c r="D1490" s="559"/>
      <c r="E1490" s="559"/>
      <c r="F1490" s="559"/>
      <c r="G1490" s="558"/>
      <c r="H1490" s="559"/>
      <c r="I1490" s="559"/>
      <c r="J1490" s="559"/>
      <c r="K1490" s="560"/>
      <c r="L1490" s="560"/>
      <c r="M1490" s="560"/>
    </row>
    <row r="1491" spans="3:13" s="338" customFormat="1">
      <c r="C1491" s="558"/>
      <c r="D1491" s="559"/>
      <c r="E1491" s="559"/>
      <c r="F1491" s="559"/>
      <c r="G1491" s="558"/>
      <c r="H1491" s="559"/>
      <c r="I1491" s="559"/>
      <c r="J1491" s="559"/>
      <c r="K1491" s="560"/>
      <c r="L1491" s="560"/>
      <c r="M1491" s="560"/>
    </row>
    <row r="1492" spans="3:13" s="338" customFormat="1">
      <c r="C1492" s="558"/>
      <c r="D1492" s="559"/>
      <c r="E1492" s="559"/>
      <c r="F1492" s="559"/>
      <c r="G1492" s="558"/>
      <c r="H1492" s="559"/>
      <c r="I1492" s="559"/>
      <c r="J1492" s="559"/>
      <c r="K1492" s="560"/>
      <c r="L1492" s="560"/>
      <c r="M1492" s="560"/>
    </row>
    <row r="1493" spans="3:13" s="338" customFormat="1">
      <c r="C1493" s="558"/>
      <c r="D1493" s="559"/>
      <c r="E1493" s="559"/>
      <c r="F1493" s="559"/>
      <c r="G1493" s="558"/>
      <c r="H1493" s="559"/>
      <c r="I1493" s="559"/>
      <c r="J1493" s="559"/>
      <c r="K1493" s="560"/>
      <c r="L1493" s="560"/>
      <c r="M1493" s="560"/>
    </row>
    <row r="1494" spans="3:13" s="338" customFormat="1">
      <c r="C1494" s="558"/>
      <c r="D1494" s="559"/>
      <c r="E1494" s="559"/>
      <c r="F1494" s="559"/>
      <c r="G1494" s="558"/>
      <c r="H1494" s="559"/>
      <c r="I1494" s="559"/>
      <c r="J1494" s="559"/>
      <c r="K1494" s="560"/>
      <c r="L1494" s="560"/>
      <c r="M1494" s="560"/>
    </row>
    <row r="1495" spans="3:13" s="338" customFormat="1">
      <c r="C1495" s="558"/>
      <c r="D1495" s="559"/>
      <c r="E1495" s="559"/>
      <c r="F1495" s="559"/>
      <c r="G1495" s="558"/>
      <c r="H1495" s="559"/>
      <c r="I1495" s="559"/>
      <c r="J1495" s="559"/>
      <c r="K1495" s="560"/>
      <c r="L1495" s="560"/>
      <c r="M1495" s="560"/>
    </row>
    <row r="1496" spans="3:13" s="338" customFormat="1">
      <c r="C1496" s="558"/>
      <c r="D1496" s="559"/>
      <c r="E1496" s="559"/>
      <c r="F1496" s="559"/>
      <c r="G1496" s="558"/>
      <c r="H1496" s="559"/>
      <c r="I1496" s="559"/>
      <c r="J1496" s="559"/>
      <c r="K1496" s="560"/>
      <c r="L1496" s="560"/>
      <c r="M1496" s="560"/>
    </row>
    <row r="1497" spans="3:13" s="338" customFormat="1">
      <c r="C1497" s="558"/>
      <c r="D1497" s="559"/>
      <c r="E1497" s="559"/>
      <c r="F1497" s="559"/>
      <c r="G1497" s="558"/>
      <c r="H1497" s="559"/>
      <c r="I1497" s="559"/>
      <c r="J1497" s="559"/>
      <c r="K1497" s="560"/>
      <c r="L1497" s="560"/>
      <c r="M1497" s="560"/>
    </row>
    <row r="1498" spans="3:13" s="338" customFormat="1">
      <c r="C1498" s="558"/>
      <c r="D1498" s="559"/>
      <c r="E1498" s="559"/>
      <c r="F1498" s="559"/>
      <c r="G1498" s="558"/>
      <c r="H1498" s="559"/>
      <c r="I1498" s="559"/>
      <c r="J1498" s="559"/>
      <c r="K1498" s="560"/>
      <c r="L1498" s="560"/>
      <c r="M1498" s="560"/>
    </row>
    <row r="1499" spans="3:13" s="338" customFormat="1">
      <c r="C1499" s="558"/>
      <c r="D1499" s="559"/>
      <c r="E1499" s="559"/>
      <c r="F1499" s="559"/>
      <c r="G1499" s="558"/>
      <c r="H1499" s="559"/>
      <c r="I1499" s="559"/>
      <c r="J1499" s="559"/>
      <c r="K1499" s="560"/>
      <c r="L1499" s="560"/>
      <c r="M1499" s="560"/>
    </row>
    <row r="1500" spans="3:13" s="338" customFormat="1">
      <c r="C1500" s="558"/>
      <c r="D1500" s="559"/>
      <c r="E1500" s="559"/>
      <c r="F1500" s="559"/>
      <c r="G1500" s="558"/>
      <c r="H1500" s="559"/>
      <c r="I1500" s="559"/>
      <c r="J1500" s="559"/>
      <c r="K1500" s="560"/>
      <c r="L1500" s="560"/>
      <c r="M1500" s="560"/>
    </row>
    <row r="1501" spans="3:13" s="338" customFormat="1">
      <c r="C1501" s="558"/>
      <c r="D1501" s="559"/>
      <c r="E1501" s="559"/>
      <c r="F1501" s="559"/>
      <c r="G1501" s="558"/>
      <c r="H1501" s="559"/>
      <c r="I1501" s="559"/>
      <c r="J1501" s="559"/>
      <c r="K1501" s="560"/>
      <c r="L1501" s="560"/>
      <c r="M1501" s="560"/>
    </row>
    <row r="1502" spans="3:13" s="338" customFormat="1">
      <c r="C1502" s="558"/>
      <c r="D1502" s="559"/>
      <c r="E1502" s="559"/>
      <c r="F1502" s="559"/>
      <c r="G1502" s="558"/>
      <c r="H1502" s="559"/>
      <c r="I1502" s="559"/>
      <c r="J1502" s="559"/>
      <c r="K1502" s="560"/>
      <c r="L1502" s="560"/>
      <c r="M1502" s="560"/>
    </row>
    <row r="1503" spans="3:13" s="338" customFormat="1">
      <c r="C1503" s="558"/>
      <c r="D1503" s="559"/>
      <c r="E1503" s="559"/>
      <c r="F1503" s="559"/>
      <c r="G1503" s="558"/>
      <c r="H1503" s="559"/>
      <c r="I1503" s="559"/>
      <c r="J1503" s="559"/>
      <c r="K1503" s="560"/>
      <c r="L1503" s="560"/>
      <c r="M1503" s="560"/>
    </row>
    <row r="1504" spans="3:13" s="338" customFormat="1">
      <c r="C1504" s="558"/>
      <c r="D1504" s="559"/>
      <c r="E1504" s="559"/>
      <c r="F1504" s="559"/>
      <c r="G1504" s="558"/>
      <c r="H1504" s="559"/>
      <c r="I1504" s="559"/>
      <c r="J1504" s="559"/>
      <c r="K1504" s="560"/>
      <c r="L1504" s="560"/>
      <c r="M1504" s="560"/>
    </row>
    <row r="1505" spans="3:13" s="338" customFormat="1">
      <c r="C1505" s="558"/>
      <c r="D1505" s="559"/>
      <c r="E1505" s="559"/>
      <c r="F1505" s="559"/>
      <c r="G1505" s="558"/>
      <c r="H1505" s="559"/>
      <c r="I1505" s="559"/>
      <c r="J1505" s="559"/>
      <c r="K1505" s="560"/>
      <c r="L1505" s="560"/>
      <c r="M1505" s="560"/>
    </row>
    <row r="1506" spans="3:13" s="338" customFormat="1">
      <c r="C1506" s="558"/>
      <c r="D1506" s="559"/>
      <c r="E1506" s="559"/>
      <c r="F1506" s="559"/>
      <c r="G1506" s="558"/>
      <c r="H1506" s="559"/>
      <c r="I1506" s="559"/>
      <c r="J1506" s="559"/>
      <c r="K1506" s="560"/>
      <c r="L1506" s="560"/>
      <c r="M1506" s="560"/>
    </row>
    <row r="1507" spans="3:13" s="338" customFormat="1">
      <c r="C1507" s="558"/>
      <c r="D1507" s="559"/>
      <c r="E1507" s="559"/>
      <c r="F1507" s="559"/>
      <c r="G1507" s="558"/>
      <c r="H1507" s="559"/>
      <c r="I1507" s="559"/>
      <c r="J1507" s="559"/>
      <c r="K1507" s="560"/>
      <c r="L1507" s="560"/>
      <c r="M1507" s="560"/>
    </row>
    <row r="1508" spans="3:13" s="338" customFormat="1">
      <c r="C1508" s="558"/>
      <c r="D1508" s="559"/>
      <c r="E1508" s="559"/>
      <c r="F1508" s="559"/>
      <c r="G1508" s="558"/>
      <c r="H1508" s="559"/>
      <c r="I1508" s="559"/>
      <c r="J1508" s="559"/>
      <c r="K1508" s="560"/>
      <c r="L1508" s="560"/>
      <c r="M1508" s="560"/>
    </row>
    <row r="1509" spans="3:13" s="338" customFormat="1">
      <c r="C1509" s="558"/>
      <c r="D1509" s="559"/>
      <c r="E1509" s="559"/>
      <c r="F1509" s="559"/>
      <c r="G1509" s="558"/>
      <c r="H1509" s="559"/>
      <c r="I1509" s="559"/>
      <c r="J1509" s="559"/>
      <c r="K1509" s="560"/>
      <c r="L1509" s="560"/>
      <c r="M1509" s="560"/>
    </row>
    <row r="1510" spans="3:13" s="338" customFormat="1">
      <c r="C1510" s="558"/>
      <c r="D1510" s="559"/>
      <c r="E1510" s="559"/>
      <c r="F1510" s="559"/>
      <c r="G1510" s="558"/>
      <c r="H1510" s="559"/>
      <c r="I1510" s="559"/>
      <c r="J1510" s="559"/>
      <c r="K1510" s="560"/>
      <c r="L1510" s="560"/>
      <c r="M1510" s="560"/>
    </row>
    <row r="1511" spans="3:13" s="338" customFormat="1">
      <c r="C1511" s="558"/>
      <c r="D1511" s="559"/>
      <c r="E1511" s="559"/>
      <c r="F1511" s="559"/>
      <c r="G1511" s="558"/>
      <c r="H1511" s="559"/>
      <c r="I1511" s="559"/>
      <c r="J1511" s="559"/>
      <c r="K1511" s="560"/>
      <c r="L1511" s="560"/>
      <c r="M1511" s="560"/>
    </row>
    <row r="1512" spans="3:13" s="338" customFormat="1">
      <c r="C1512" s="558"/>
      <c r="D1512" s="559"/>
      <c r="E1512" s="559"/>
      <c r="F1512" s="559"/>
      <c r="G1512" s="558"/>
      <c r="H1512" s="559"/>
      <c r="I1512" s="559"/>
      <c r="J1512" s="559"/>
      <c r="K1512" s="560"/>
      <c r="L1512" s="560"/>
      <c r="M1512" s="560"/>
    </row>
    <row r="1513" spans="3:13" s="338" customFormat="1">
      <c r="C1513" s="558"/>
      <c r="D1513" s="559"/>
      <c r="E1513" s="559"/>
      <c r="F1513" s="559"/>
      <c r="G1513" s="558"/>
      <c r="H1513" s="559"/>
      <c r="I1513" s="559"/>
      <c r="J1513" s="559"/>
      <c r="K1513" s="560"/>
      <c r="L1513" s="560"/>
      <c r="M1513" s="560"/>
    </row>
    <row r="1514" spans="3:13" s="338" customFormat="1">
      <c r="C1514" s="558"/>
      <c r="D1514" s="559"/>
      <c r="E1514" s="559"/>
      <c r="F1514" s="559"/>
      <c r="G1514" s="558"/>
      <c r="H1514" s="559"/>
      <c r="I1514" s="559"/>
      <c r="J1514" s="559"/>
      <c r="K1514" s="560"/>
      <c r="L1514" s="560"/>
      <c r="M1514" s="560"/>
    </row>
    <row r="1515" spans="3:13" s="338" customFormat="1">
      <c r="C1515" s="558"/>
      <c r="D1515" s="559"/>
      <c r="E1515" s="559"/>
      <c r="F1515" s="559"/>
      <c r="G1515" s="558"/>
      <c r="H1515" s="559"/>
      <c r="I1515" s="559"/>
      <c r="J1515" s="559"/>
      <c r="K1515" s="560"/>
      <c r="L1515" s="560"/>
      <c r="M1515" s="560"/>
    </row>
    <row r="1516" spans="3:13" s="338" customFormat="1">
      <c r="C1516" s="558"/>
      <c r="D1516" s="559"/>
      <c r="E1516" s="559"/>
      <c r="F1516" s="559"/>
      <c r="G1516" s="558"/>
      <c r="H1516" s="559"/>
      <c r="I1516" s="559"/>
      <c r="J1516" s="559"/>
      <c r="K1516" s="560"/>
      <c r="L1516" s="560"/>
      <c r="M1516" s="560"/>
    </row>
    <row r="1517" spans="3:13" s="338" customFormat="1">
      <c r="C1517" s="558"/>
      <c r="D1517" s="559"/>
      <c r="E1517" s="559"/>
      <c r="F1517" s="559"/>
      <c r="G1517" s="558"/>
      <c r="H1517" s="559"/>
      <c r="I1517" s="559"/>
      <c r="J1517" s="559"/>
      <c r="K1517" s="560"/>
      <c r="L1517" s="560"/>
      <c r="M1517" s="560"/>
    </row>
    <row r="1518" spans="3:13" s="338" customFormat="1">
      <c r="C1518" s="558"/>
      <c r="D1518" s="559"/>
      <c r="E1518" s="559"/>
      <c r="F1518" s="559"/>
      <c r="G1518" s="558"/>
      <c r="H1518" s="559"/>
      <c r="I1518" s="559"/>
      <c r="J1518" s="559"/>
      <c r="K1518" s="560"/>
      <c r="L1518" s="560"/>
      <c r="M1518" s="560"/>
    </row>
    <row r="1519" spans="3:13" s="338" customFormat="1">
      <c r="C1519" s="558"/>
      <c r="D1519" s="559"/>
      <c r="E1519" s="559"/>
      <c r="F1519" s="559"/>
      <c r="G1519" s="558"/>
      <c r="H1519" s="559"/>
      <c r="I1519" s="559"/>
      <c r="J1519" s="559"/>
      <c r="K1519" s="560"/>
      <c r="L1519" s="560"/>
      <c r="M1519" s="560"/>
    </row>
    <row r="1520" spans="3:13" s="338" customFormat="1">
      <c r="C1520" s="558"/>
      <c r="D1520" s="559"/>
      <c r="E1520" s="559"/>
      <c r="F1520" s="559"/>
      <c r="G1520" s="558"/>
      <c r="H1520" s="559"/>
      <c r="I1520" s="559"/>
      <c r="J1520" s="559"/>
      <c r="K1520" s="560"/>
      <c r="L1520" s="560"/>
      <c r="M1520" s="560"/>
    </row>
    <row r="1521" spans="3:13" s="338" customFormat="1">
      <c r="C1521" s="558"/>
      <c r="D1521" s="559"/>
      <c r="E1521" s="559"/>
      <c r="F1521" s="559"/>
      <c r="G1521" s="558"/>
      <c r="H1521" s="559"/>
      <c r="I1521" s="559"/>
      <c r="J1521" s="559"/>
      <c r="K1521" s="560"/>
      <c r="L1521" s="560"/>
      <c r="M1521" s="560"/>
    </row>
    <row r="1522" spans="3:13" s="338" customFormat="1">
      <c r="C1522" s="558"/>
      <c r="D1522" s="559"/>
      <c r="E1522" s="559"/>
      <c r="F1522" s="559"/>
      <c r="G1522" s="558"/>
      <c r="H1522" s="559"/>
      <c r="I1522" s="559"/>
      <c r="J1522" s="559"/>
      <c r="K1522" s="560"/>
      <c r="L1522" s="560"/>
      <c r="M1522" s="560"/>
    </row>
    <row r="1523" spans="3:13" s="338" customFormat="1">
      <c r="C1523" s="558"/>
      <c r="D1523" s="559"/>
      <c r="E1523" s="559"/>
      <c r="F1523" s="559"/>
      <c r="G1523" s="558"/>
      <c r="H1523" s="559"/>
      <c r="I1523" s="559"/>
      <c r="J1523" s="559"/>
      <c r="K1523" s="560"/>
      <c r="L1523" s="560"/>
      <c r="M1523" s="560"/>
    </row>
    <row r="1524" spans="3:13" s="338" customFormat="1">
      <c r="C1524" s="558"/>
      <c r="D1524" s="559"/>
      <c r="E1524" s="559"/>
      <c r="F1524" s="559"/>
      <c r="G1524" s="558"/>
      <c r="H1524" s="559"/>
      <c r="I1524" s="559"/>
      <c r="J1524" s="559"/>
      <c r="K1524" s="560"/>
      <c r="L1524" s="560"/>
      <c r="M1524" s="560"/>
    </row>
    <row r="1525" spans="3:13" s="338" customFormat="1">
      <c r="C1525" s="558"/>
      <c r="D1525" s="559"/>
      <c r="E1525" s="559"/>
      <c r="F1525" s="559"/>
      <c r="G1525" s="558"/>
      <c r="H1525" s="559"/>
      <c r="I1525" s="559"/>
      <c r="J1525" s="559"/>
      <c r="K1525" s="560"/>
      <c r="L1525" s="560"/>
      <c r="M1525" s="560"/>
    </row>
    <row r="1526" spans="3:13" s="338" customFormat="1">
      <c r="C1526" s="558"/>
      <c r="D1526" s="559"/>
      <c r="E1526" s="559"/>
      <c r="F1526" s="559"/>
      <c r="G1526" s="558"/>
      <c r="H1526" s="559"/>
      <c r="I1526" s="559"/>
      <c r="J1526" s="559"/>
      <c r="K1526" s="560"/>
      <c r="L1526" s="560"/>
      <c r="M1526" s="560"/>
    </row>
    <row r="1527" spans="3:13" s="338" customFormat="1">
      <c r="C1527" s="558"/>
      <c r="D1527" s="559"/>
      <c r="E1527" s="559"/>
      <c r="F1527" s="559"/>
      <c r="G1527" s="558"/>
      <c r="H1527" s="559"/>
      <c r="I1527" s="559"/>
      <c r="J1527" s="559"/>
      <c r="K1527" s="560"/>
      <c r="L1527" s="560"/>
      <c r="M1527" s="560"/>
    </row>
    <row r="1528" spans="3:13" s="338" customFormat="1">
      <c r="C1528" s="558"/>
      <c r="D1528" s="559"/>
      <c r="E1528" s="559"/>
      <c r="F1528" s="559"/>
      <c r="G1528" s="558"/>
      <c r="H1528" s="559"/>
      <c r="I1528" s="559"/>
      <c r="J1528" s="559"/>
      <c r="K1528" s="560"/>
      <c r="L1528" s="560"/>
      <c r="M1528" s="560"/>
    </row>
    <row r="1529" spans="3:13" s="338" customFormat="1">
      <c r="C1529" s="558"/>
      <c r="D1529" s="559"/>
      <c r="E1529" s="559"/>
      <c r="F1529" s="559"/>
      <c r="G1529" s="558"/>
      <c r="H1529" s="559"/>
      <c r="I1529" s="559"/>
      <c r="J1529" s="559"/>
      <c r="K1529" s="560"/>
      <c r="L1529" s="560"/>
      <c r="M1529" s="560"/>
    </row>
    <row r="1530" spans="3:13" s="338" customFormat="1">
      <c r="C1530" s="558"/>
      <c r="D1530" s="559"/>
      <c r="E1530" s="559"/>
      <c r="F1530" s="559"/>
      <c r="G1530" s="558"/>
      <c r="H1530" s="559"/>
      <c r="I1530" s="559"/>
      <c r="J1530" s="559"/>
      <c r="K1530" s="560"/>
      <c r="L1530" s="560"/>
      <c r="M1530" s="560"/>
    </row>
    <row r="1531" spans="3:13" s="338" customFormat="1">
      <c r="C1531" s="558"/>
      <c r="D1531" s="559"/>
      <c r="E1531" s="559"/>
      <c r="F1531" s="559"/>
      <c r="G1531" s="558"/>
      <c r="H1531" s="559"/>
      <c r="I1531" s="559"/>
      <c r="J1531" s="559"/>
      <c r="K1531" s="560"/>
      <c r="L1531" s="560"/>
      <c r="M1531" s="560"/>
    </row>
    <row r="1532" spans="3:13" s="338" customFormat="1">
      <c r="C1532" s="558"/>
      <c r="D1532" s="559"/>
      <c r="E1532" s="559"/>
      <c r="F1532" s="559"/>
      <c r="G1532" s="558"/>
      <c r="H1532" s="559"/>
      <c r="I1532" s="559"/>
      <c r="J1532" s="559"/>
      <c r="K1532" s="560"/>
      <c r="L1532" s="560"/>
      <c r="M1532" s="560"/>
    </row>
    <row r="1533" spans="3:13" s="338" customFormat="1">
      <c r="C1533" s="558"/>
      <c r="D1533" s="559"/>
      <c r="E1533" s="559"/>
      <c r="F1533" s="559"/>
      <c r="G1533" s="558"/>
      <c r="H1533" s="559"/>
      <c r="I1533" s="559"/>
      <c r="J1533" s="559"/>
      <c r="K1533" s="560"/>
      <c r="L1533" s="560"/>
      <c r="M1533" s="560"/>
    </row>
    <row r="1534" spans="3:13" s="338" customFormat="1">
      <c r="C1534" s="558"/>
      <c r="D1534" s="559"/>
      <c r="E1534" s="559"/>
      <c r="F1534" s="559"/>
      <c r="G1534" s="558"/>
      <c r="H1534" s="559"/>
      <c r="I1534" s="559"/>
      <c r="J1534" s="559"/>
      <c r="K1534" s="560"/>
      <c r="L1534" s="560"/>
      <c r="M1534" s="560"/>
    </row>
    <row r="1535" spans="3:13" s="338" customFormat="1">
      <c r="C1535" s="558"/>
      <c r="D1535" s="559"/>
      <c r="E1535" s="559"/>
      <c r="F1535" s="559"/>
      <c r="G1535" s="558"/>
      <c r="H1535" s="559"/>
      <c r="I1535" s="559"/>
      <c r="J1535" s="559"/>
      <c r="K1535" s="560"/>
      <c r="L1535" s="560"/>
      <c r="M1535" s="560"/>
    </row>
    <row r="1536" spans="3:13" s="338" customFormat="1">
      <c r="C1536" s="558"/>
      <c r="D1536" s="559"/>
      <c r="E1536" s="559"/>
      <c r="F1536" s="559"/>
      <c r="G1536" s="558"/>
      <c r="H1536" s="559"/>
      <c r="I1536" s="559"/>
      <c r="J1536" s="559"/>
      <c r="K1536" s="560"/>
      <c r="L1536" s="560"/>
      <c r="M1536" s="560"/>
    </row>
    <row r="1537" spans="3:13" s="338" customFormat="1">
      <c r="C1537" s="558"/>
      <c r="D1537" s="559"/>
      <c r="E1537" s="559"/>
      <c r="F1537" s="559"/>
      <c r="G1537" s="558"/>
      <c r="H1537" s="559"/>
      <c r="I1537" s="559"/>
      <c r="J1537" s="559"/>
      <c r="K1537" s="560"/>
      <c r="L1537" s="560"/>
      <c r="M1537" s="560"/>
    </row>
    <row r="1538" spans="3:13" s="338" customFormat="1">
      <c r="C1538" s="558"/>
      <c r="D1538" s="559"/>
      <c r="E1538" s="559"/>
      <c r="F1538" s="559"/>
      <c r="G1538" s="558"/>
      <c r="H1538" s="559"/>
      <c r="I1538" s="559"/>
      <c r="J1538" s="559"/>
      <c r="K1538" s="560"/>
      <c r="L1538" s="560"/>
      <c r="M1538" s="560"/>
    </row>
    <row r="1539" spans="3:13" s="338" customFormat="1">
      <c r="C1539" s="558"/>
      <c r="D1539" s="559"/>
      <c r="E1539" s="559"/>
      <c r="F1539" s="559"/>
      <c r="G1539" s="558"/>
      <c r="H1539" s="559"/>
      <c r="I1539" s="559"/>
      <c r="J1539" s="559"/>
      <c r="K1539" s="560"/>
      <c r="L1539" s="560"/>
      <c r="M1539" s="560"/>
    </row>
    <row r="1540" spans="3:13" s="338" customFormat="1">
      <c r="C1540" s="558"/>
      <c r="D1540" s="559"/>
      <c r="E1540" s="559"/>
      <c r="F1540" s="559"/>
      <c r="G1540" s="558"/>
      <c r="H1540" s="559"/>
      <c r="I1540" s="559"/>
      <c r="J1540" s="559"/>
      <c r="K1540" s="560"/>
      <c r="L1540" s="560"/>
      <c r="M1540" s="560"/>
    </row>
    <row r="1541" spans="3:13" s="338" customFormat="1">
      <c r="C1541" s="558"/>
      <c r="D1541" s="559"/>
      <c r="E1541" s="559"/>
      <c r="F1541" s="559"/>
      <c r="G1541" s="558"/>
      <c r="H1541" s="559"/>
      <c r="I1541" s="559"/>
      <c r="J1541" s="559"/>
      <c r="K1541" s="560"/>
      <c r="L1541" s="560"/>
      <c r="M1541" s="560"/>
    </row>
    <row r="1542" spans="3:13" s="338" customFormat="1">
      <c r="C1542" s="558"/>
      <c r="D1542" s="559"/>
      <c r="E1542" s="559"/>
      <c r="F1542" s="559"/>
      <c r="G1542" s="558"/>
      <c r="H1542" s="559"/>
      <c r="I1542" s="559"/>
      <c r="J1542" s="559"/>
      <c r="K1542" s="560"/>
      <c r="L1542" s="560"/>
      <c r="M1542" s="560"/>
    </row>
    <row r="1543" spans="3:13" s="338" customFormat="1">
      <c r="C1543" s="558"/>
      <c r="D1543" s="559"/>
      <c r="E1543" s="559"/>
      <c r="F1543" s="559"/>
      <c r="G1543" s="558"/>
      <c r="H1543" s="559"/>
      <c r="I1543" s="559"/>
      <c r="J1543" s="559"/>
      <c r="K1543" s="560"/>
      <c r="L1543" s="560"/>
      <c r="M1543" s="560"/>
    </row>
    <row r="1544" spans="3:13" s="338" customFormat="1">
      <c r="C1544" s="558"/>
      <c r="D1544" s="559"/>
      <c r="E1544" s="559"/>
      <c r="F1544" s="559"/>
      <c r="G1544" s="558"/>
      <c r="H1544" s="559"/>
      <c r="I1544" s="559"/>
      <c r="J1544" s="559"/>
      <c r="K1544" s="560"/>
      <c r="L1544" s="560"/>
      <c r="M1544" s="560"/>
    </row>
    <row r="1545" spans="3:13" s="338" customFormat="1">
      <c r="C1545" s="558"/>
      <c r="D1545" s="559"/>
      <c r="E1545" s="559"/>
      <c r="F1545" s="559"/>
      <c r="G1545" s="558"/>
      <c r="H1545" s="559"/>
      <c r="I1545" s="559"/>
      <c r="J1545" s="559"/>
      <c r="K1545" s="560"/>
      <c r="L1545" s="560"/>
      <c r="M1545" s="560"/>
    </row>
    <row r="1546" spans="3:13" s="338" customFormat="1">
      <c r="C1546" s="558"/>
      <c r="D1546" s="559"/>
      <c r="E1546" s="559"/>
      <c r="F1546" s="559"/>
      <c r="G1546" s="558"/>
      <c r="H1546" s="559"/>
      <c r="I1546" s="559"/>
      <c r="J1546" s="559"/>
      <c r="K1546" s="560"/>
      <c r="L1546" s="560"/>
      <c r="M1546" s="560"/>
    </row>
    <row r="1547" spans="3:13" s="338" customFormat="1">
      <c r="C1547" s="558"/>
      <c r="D1547" s="559"/>
      <c r="E1547" s="559"/>
      <c r="F1547" s="559"/>
      <c r="G1547" s="558"/>
      <c r="H1547" s="559"/>
      <c r="I1547" s="559"/>
      <c r="J1547" s="559"/>
      <c r="K1547" s="560"/>
      <c r="L1547" s="560"/>
      <c r="M1547" s="560"/>
    </row>
    <row r="1548" spans="3:13" s="338" customFormat="1">
      <c r="C1548" s="558"/>
      <c r="D1548" s="559"/>
      <c r="E1548" s="559"/>
      <c r="F1548" s="559"/>
      <c r="G1548" s="558"/>
      <c r="H1548" s="559"/>
      <c r="I1548" s="559"/>
      <c r="J1548" s="559"/>
      <c r="K1548" s="560"/>
      <c r="L1548" s="560"/>
      <c r="M1548" s="560"/>
    </row>
    <row r="1549" spans="3:13" s="338" customFormat="1">
      <c r="C1549" s="558"/>
      <c r="D1549" s="559"/>
      <c r="E1549" s="559"/>
      <c r="F1549" s="559"/>
      <c r="G1549" s="558"/>
      <c r="H1549" s="559"/>
      <c r="I1549" s="559"/>
      <c r="J1549" s="559"/>
      <c r="K1549" s="560"/>
      <c r="L1549" s="560"/>
      <c r="M1549" s="560"/>
    </row>
    <row r="1550" spans="3:13" s="338" customFormat="1">
      <c r="C1550" s="558"/>
      <c r="D1550" s="559"/>
      <c r="E1550" s="559"/>
      <c r="F1550" s="559"/>
      <c r="G1550" s="558"/>
      <c r="H1550" s="559"/>
      <c r="I1550" s="559"/>
      <c r="J1550" s="559"/>
      <c r="K1550" s="560"/>
      <c r="L1550" s="560"/>
      <c r="M1550" s="560"/>
    </row>
    <row r="1551" spans="3:13" s="338" customFormat="1">
      <c r="C1551" s="558"/>
      <c r="D1551" s="559"/>
      <c r="E1551" s="559"/>
      <c r="F1551" s="559"/>
      <c r="G1551" s="558"/>
      <c r="H1551" s="559"/>
      <c r="I1551" s="559"/>
      <c r="J1551" s="559"/>
      <c r="K1551" s="560"/>
      <c r="L1551" s="560"/>
      <c r="M1551" s="560"/>
    </row>
    <row r="1552" spans="3:13" s="338" customFormat="1">
      <c r="C1552" s="558"/>
      <c r="D1552" s="559"/>
      <c r="E1552" s="559"/>
      <c r="F1552" s="559"/>
      <c r="G1552" s="558"/>
      <c r="H1552" s="559"/>
      <c r="I1552" s="559"/>
      <c r="J1552" s="559"/>
      <c r="K1552" s="560"/>
      <c r="L1552" s="560"/>
      <c r="M1552" s="560"/>
    </row>
    <row r="1553" spans="3:13" s="338" customFormat="1">
      <c r="C1553" s="558"/>
      <c r="D1553" s="559"/>
      <c r="E1553" s="559"/>
      <c r="F1553" s="559"/>
      <c r="G1553" s="558"/>
      <c r="H1553" s="559"/>
      <c r="I1553" s="559"/>
      <c r="J1553" s="559"/>
      <c r="K1553" s="560"/>
      <c r="L1553" s="560"/>
      <c r="M1553" s="560"/>
    </row>
    <row r="1554" spans="3:13" s="338" customFormat="1">
      <c r="C1554" s="558"/>
      <c r="D1554" s="559"/>
      <c r="E1554" s="559"/>
      <c r="F1554" s="559"/>
      <c r="G1554" s="558"/>
      <c r="H1554" s="559"/>
      <c r="I1554" s="559"/>
      <c r="J1554" s="559"/>
      <c r="K1554" s="560"/>
      <c r="L1554" s="560"/>
      <c r="M1554" s="560"/>
    </row>
    <row r="1555" spans="3:13" s="338" customFormat="1">
      <c r="C1555" s="558"/>
      <c r="D1555" s="559"/>
      <c r="E1555" s="559"/>
      <c r="F1555" s="559"/>
      <c r="G1555" s="558"/>
      <c r="H1555" s="559"/>
      <c r="I1555" s="559"/>
      <c r="J1555" s="559"/>
      <c r="K1555" s="560"/>
      <c r="L1555" s="560"/>
      <c r="M1555" s="560"/>
    </row>
    <row r="1556" spans="3:13" s="338" customFormat="1">
      <c r="C1556" s="558"/>
      <c r="D1556" s="559"/>
      <c r="E1556" s="559"/>
      <c r="F1556" s="559"/>
      <c r="G1556" s="558"/>
      <c r="H1556" s="559"/>
      <c r="I1556" s="559"/>
      <c r="J1556" s="559"/>
      <c r="K1556" s="560"/>
      <c r="L1556" s="560"/>
      <c r="M1556" s="560"/>
    </row>
    <row r="1557" spans="3:13" s="338" customFormat="1">
      <c r="C1557" s="558"/>
      <c r="D1557" s="559"/>
      <c r="E1557" s="559"/>
      <c r="F1557" s="559"/>
      <c r="G1557" s="558"/>
      <c r="H1557" s="559"/>
      <c r="I1557" s="559"/>
      <c r="J1557" s="559"/>
      <c r="K1557" s="560"/>
      <c r="L1557" s="560"/>
      <c r="M1557" s="560"/>
    </row>
    <row r="1558" spans="3:13" s="338" customFormat="1">
      <c r="C1558" s="558"/>
      <c r="D1558" s="559"/>
      <c r="E1558" s="559"/>
      <c r="F1558" s="559"/>
      <c r="G1558" s="558"/>
      <c r="H1558" s="559"/>
      <c r="I1558" s="559"/>
      <c r="J1558" s="559"/>
      <c r="K1558" s="560"/>
      <c r="L1558" s="560"/>
      <c r="M1558" s="560"/>
    </row>
    <row r="1559" spans="3:13" s="338" customFormat="1">
      <c r="C1559" s="558"/>
      <c r="D1559" s="559"/>
      <c r="E1559" s="559"/>
      <c r="F1559" s="559"/>
      <c r="G1559" s="558"/>
      <c r="H1559" s="559"/>
      <c r="I1559" s="559"/>
      <c r="J1559" s="559"/>
      <c r="K1559" s="560"/>
      <c r="L1559" s="560"/>
      <c r="M1559" s="560"/>
    </row>
    <row r="1560" spans="3:13" s="338" customFormat="1">
      <c r="C1560" s="558"/>
      <c r="D1560" s="559"/>
      <c r="E1560" s="559"/>
      <c r="F1560" s="559"/>
      <c r="G1560" s="558"/>
      <c r="H1560" s="559"/>
      <c r="I1560" s="559"/>
      <c r="J1560" s="559"/>
      <c r="K1560" s="560"/>
      <c r="L1560" s="560"/>
      <c r="M1560" s="560"/>
    </row>
    <row r="1561" spans="3:13" s="338" customFormat="1">
      <c r="C1561" s="558"/>
      <c r="D1561" s="559"/>
      <c r="E1561" s="559"/>
      <c r="F1561" s="559"/>
      <c r="G1561" s="558"/>
      <c r="H1561" s="559"/>
      <c r="I1561" s="559"/>
      <c r="J1561" s="559"/>
      <c r="K1561" s="560"/>
      <c r="L1561" s="560"/>
      <c r="M1561" s="560"/>
    </row>
    <row r="1562" spans="3:13" s="338" customFormat="1">
      <c r="C1562" s="558"/>
      <c r="D1562" s="559"/>
      <c r="E1562" s="559"/>
      <c r="F1562" s="559"/>
      <c r="G1562" s="558"/>
      <c r="H1562" s="559"/>
      <c r="I1562" s="559"/>
      <c r="J1562" s="559"/>
      <c r="K1562" s="560"/>
      <c r="L1562" s="560"/>
      <c r="M1562" s="560"/>
    </row>
    <row r="1563" spans="3:13" s="338" customFormat="1">
      <c r="C1563" s="558"/>
      <c r="D1563" s="559"/>
      <c r="E1563" s="559"/>
      <c r="F1563" s="559"/>
      <c r="G1563" s="558"/>
      <c r="H1563" s="559"/>
      <c r="I1563" s="559"/>
      <c r="J1563" s="559"/>
      <c r="K1563" s="560"/>
      <c r="L1563" s="560"/>
      <c r="M1563" s="560"/>
    </row>
    <row r="1564" spans="3:13" s="338" customFormat="1">
      <c r="C1564" s="558"/>
      <c r="D1564" s="559"/>
      <c r="E1564" s="559"/>
      <c r="F1564" s="559"/>
      <c r="G1564" s="558"/>
      <c r="H1564" s="559"/>
      <c r="I1564" s="559"/>
      <c r="J1564" s="559"/>
      <c r="K1564" s="560"/>
      <c r="L1564" s="560"/>
      <c r="M1564" s="560"/>
    </row>
    <row r="1565" spans="3:13" s="338" customFormat="1">
      <c r="C1565" s="558"/>
      <c r="D1565" s="559"/>
      <c r="E1565" s="559"/>
      <c r="F1565" s="559"/>
      <c r="G1565" s="558"/>
      <c r="H1565" s="559"/>
      <c r="I1565" s="559"/>
      <c r="J1565" s="559"/>
      <c r="K1565" s="560"/>
      <c r="L1565" s="560"/>
      <c r="M1565" s="560"/>
    </row>
    <row r="1566" spans="3:13" s="338" customFormat="1">
      <c r="C1566" s="558"/>
      <c r="D1566" s="559"/>
      <c r="E1566" s="559"/>
      <c r="F1566" s="559"/>
      <c r="G1566" s="558"/>
      <c r="H1566" s="559"/>
      <c r="I1566" s="559"/>
      <c r="J1566" s="559"/>
      <c r="K1566" s="560"/>
      <c r="L1566" s="560"/>
      <c r="M1566" s="560"/>
    </row>
    <row r="1567" spans="3:13" s="338" customFormat="1">
      <c r="C1567" s="558"/>
      <c r="D1567" s="559"/>
      <c r="E1567" s="559"/>
      <c r="F1567" s="559"/>
      <c r="G1567" s="558"/>
      <c r="H1567" s="559"/>
      <c r="I1567" s="559"/>
      <c r="J1567" s="559"/>
      <c r="K1567" s="560"/>
      <c r="L1567" s="560"/>
      <c r="M1567" s="560"/>
    </row>
    <row r="1568" spans="3:13" s="338" customFormat="1">
      <c r="C1568" s="558"/>
      <c r="D1568" s="559"/>
      <c r="E1568" s="559"/>
      <c r="F1568" s="559"/>
      <c r="G1568" s="558"/>
      <c r="H1568" s="559"/>
      <c r="I1568" s="559"/>
      <c r="J1568" s="559"/>
      <c r="K1568" s="560"/>
      <c r="L1568" s="560"/>
      <c r="M1568" s="560"/>
    </row>
    <row r="1569" spans="3:13" s="338" customFormat="1">
      <c r="C1569" s="558"/>
      <c r="D1569" s="559"/>
      <c r="E1569" s="559"/>
      <c r="F1569" s="559"/>
      <c r="G1569" s="558"/>
      <c r="H1569" s="559"/>
      <c r="I1569" s="559"/>
      <c r="J1569" s="559"/>
      <c r="K1569" s="560"/>
      <c r="L1569" s="560"/>
      <c r="M1569" s="560"/>
    </row>
    <row r="1570" spans="3:13" s="338" customFormat="1">
      <c r="C1570" s="558"/>
      <c r="D1570" s="559"/>
      <c r="E1570" s="559"/>
      <c r="F1570" s="559"/>
      <c r="G1570" s="558"/>
      <c r="H1570" s="559"/>
      <c r="I1570" s="559"/>
      <c r="J1570" s="559"/>
      <c r="K1570" s="560"/>
      <c r="L1570" s="560"/>
      <c r="M1570" s="560"/>
    </row>
    <row r="1571" spans="3:13" s="338" customFormat="1">
      <c r="C1571" s="558"/>
      <c r="D1571" s="559"/>
      <c r="E1571" s="559"/>
      <c r="F1571" s="559"/>
      <c r="G1571" s="558"/>
      <c r="H1571" s="559"/>
      <c r="I1571" s="559"/>
      <c r="J1571" s="559"/>
      <c r="K1571" s="560"/>
      <c r="L1571" s="560"/>
      <c r="M1571" s="560"/>
    </row>
    <row r="1572" spans="3:13" s="338" customFormat="1">
      <c r="C1572" s="558"/>
      <c r="D1572" s="559"/>
      <c r="E1572" s="559"/>
      <c r="F1572" s="559"/>
      <c r="G1572" s="558"/>
      <c r="H1572" s="559"/>
      <c r="I1572" s="559"/>
      <c r="J1572" s="559"/>
      <c r="K1572" s="560"/>
      <c r="L1572" s="560"/>
      <c r="M1572" s="560"/>
    </row>
    <row r="1573" spans="3:13" s="338" customFormat="1">
      <c r="C1573" s="558"/>
      <c r="D1573" s="559"/>
      <c r="E1573" s="559"/>
      <c r="F1573" s="559"/>
      <c r="G1573" s="558"/>
      <c r="H1573" s="559"/>
      <c r="I1573" s="559"/>
      <c r="J1573" s="559"/>
      <c r="K1573" s="560"/>
      <c r="L1573" s="560"/>
      <c r="M1573" s="560"/>
    </row>
    <row r="1574" spans="3:13" s="338" customFormat="1">
      <c r="C1574" s="558"/>
      <c r="D1574" s="559"/>
      <c r="E1574" s="559"/>
      <c r="F1574" s="559"/>
      <c r="G1574" s="558"/>
      <c r="H1574" s="559"/>
      <c r="I1574" s="559"/>
      <c r="J1574" s="559"/>
      <c r="K1574" s="560"/>
      <c r="L1574" s="560"/>
      <c r="M1574" s="560"/>
    </row>
    <row r="1575" spans="3:13" s="338" customFormat="1">
      <c r="C1575" s="558"/>
      <c r="D1575" s="559"/>
      <c r="E1575" s="559"/>
      <c r="F1575" s="559"/>
      <c r="G1575" s="558"/>
      <c r="H1575" s="559"/>
      <c r="I1575" s="559"/>
      <c r="J1575" s="559"/>
      <c r="K1575" s="560"/>
      <c r="L1575" s="560"/>
      <c r="M1575" s="560"/>
    </row>
    <row r="1576" spans="3:13" s="338" customFormat="1">
      <c r="C1576" s="558"/>
      <c r="D1576" s="559"/>
      <c r="E1576" s="559"/>
      <c r="F1576" s="559"/>
      <c r="G1576" s="558"/>
      <c r="H1576" s="559"/>
      <c r="I1576" s="559"/>
      <c r="J1576" s="559"/>
      <c r="K1576" s="560"/>
      <c r="L1576" s="560"/>
      <c r="M1576" s="560"/>
    </row>
    <row r="1577" spans="3:13" s="338" customFormat="1">
      <c r="C1577" s="558"/>
      <c r="D1577" s="559"/>
      <c r="E1577" s="559"/>
      <c r="F1577" s="559"/>
      <c r="G1577" s="558"/>
      <c r="H1577" s="559"/>
      <c r="I1577" s="559"/>
      <c r="J1577" s="559"/>
      <c r="K1577" s="560"/>
      <c r="L1577" s="560"/>
      <c r="M1577" s="560"/>
    </row>
    <row r="1578" spans="3:13" s="338" customFormat="1">
      <c r="C1578" s="558"/>
      <c r="D1578" s="559"/>
      <c r="E1578" s="559"/>
      <c r="F1578" s="559"/>
      <c r="G1578" s="558"/>
      <c r="H1578" s="559"/>
      <c r="I1578" s="559"/>
      <c r="J1578" s="559"/>
      <c r="K1578" s="560"/>
      <c r="L1578" s="560"/>
      <c r="M1578" s="560"/>
    </row>
    <row r="1579" spans="3:13" s="338" customFormat="1">
      <c r="C1579" s="558"/>
      <c r="D1579" s="559"/>
      <c r="E1579" s="559"/>
      <c r="F1579" s="559"/>
      <c r="G1579" s="558"/>
      <c r="H1579" s="559"/>
      <c r="I1579" s="559"/>
      <c r="J1579" s="559"/>
      <c r="K1579" s="560"/>
      <c r="L1579" s="560"/>
      <c r="M1579" s="560"/>
    </row>
    <row r="1580" spans="3:13" s="338" customFormat="1">
      <c r="C1580" s="558"/>
      <c r="D1580" s="559"/>
      <c r="E1580" s="559"/>
      <c r="F1580" s="559"/>
      <c r="G1580" s="558"/>
      <c r="H1580" s="559"/>
      <c r="I1580" s="559"/>
      <c r="J1580" s="559"/>
      <c r="K1580" s="560"/>
      <c r="L1580" s="560"/>
      <c r="M1580" s="560"/>
    </row>
    <row r="1581" spans="3:13" s="338" customFormat="1">
      <c r="C1581" s="558"/>
      <c r="D1581" s="559"/>
      <c r="E1581" s="559"/>
      <c r="F1581" s="559"/>
      <c r="G1581" s="558"/>
      <c r="H1581" s="559"/>
      <c r="I1581" s="559"/>
      <c r="J1581" s="559"/>
      <c r="K1581" s="560"/>
      <c r="L1581" s="560"/>
      <c r="M1581" s="560"/>
    </row>
    <row r="1582" spans="3:13" s="338" customFormat="1">
      <c r="C1582" s="558"/>
      <c r="D1582" s="559"/>
      <c r="E1582" s="559"/>
      <c r="F1582" s="559"/>
      <c r="G1582" s="558"/>
      <c r="H1582" s="559"/>
      <c r="I1582" s="559"/>
      <c r="J1582" s="559"/>
      <c r="K1582" s="560"/>
      <c r="L1582" s="560"/>
      <c r="M1582" s="560"/>
    </row>
    <row r="1583" spans="3:13" s="338" customFormat="1">
      <c r="C1583" s="558"/>
      <c r="D1583" s="559"/>
      <c r="E1583" s="559"/>
      <c r="F1583" s="559"/>
      <c r="G1583" s="558"/>
      <c r="H1583" s="559"/>
      <c r="I1583" s="559"/>
      <c r="J1583" s="559"/>
      <c r="K1583" s="560"/>
      <c r="L1583" s="560"/>
      <c r="M1583" s="560"/>
    </row>
    <row r="1584" spans="3:13" s="338" customFormat="1">
      <c r="C1584" s="558"/>
      <c r="D1584" s="559"/>
      <c r="E1584" s="559"/>
      <c r="F1584" s="559"/>
      <c r="G1584" s="558"/>
      <c r="H1584" s="559"/>
      <c r="I1584" s="559"/>
      <c r="J1584" s="559"/>
      <c r="K1584" s="560"/>
      <c r="L1584" s="560"/>
      <c r="M1584" s="560"/>
    </row>
    <row r="1585" spans="3:13" s="338" customFormat="1">
      <c r="C1585" s="558"/>
      <c r="D1585" s="559"/>
      <c r="E1585" s="559"/>
      <c r="F1585" s="559"/>
      <c r="G1585" s="558"/>
      <c r="H1585" s="559"/>
      <c r="I1585" s="559"/>
      <c r="J1585" s="559"/>
      <c r="K1585" s="560"/>
      <c r="L1585" s="560"/>
      <c r="M1585" s="560"/>
    </row>
    <row r="1586" spans="3:13" s="338" customFormat="1">
      <c r="C1586" s="558"/>
      <c r="D1586" s="559"/>
      <c r="E1586" s="559"/>
      <c r="F1586" s="559"/>
      <c r="G1586" s="558"/>
      <c r="H1586" s="559"/>
      <c r="I1586" s="559"/>
      <c r="J1586" s="559"/>
      <c r="K1586" s="560"/>
      <c r="L1586" s="560"/>
      <c r="M1586" s="560"/>
    </row>
    <row r="1587" spans="3:13" s="338" customFormat="1">
      <c r="C1587" s="558"/>
      <c r="D1587" s="559"/>
      <c r="E1587" s="559"/>
      <c r="F1587" s="559"/>
      <c r="G1587" s="558"/>
      <c r="H1587" s="559"/>
      <c r="I1587" s="559"/>
      <c r="J1587" s="559"/>
      <c r="K1587" s="560"/>
      <c r="L1587" s="560"/>
      <c r="M1587" s="560"/>
    </row>
    <row r="1588" spans="3:13" s="338" customFormat="1">
      <c r="C1588" s="558"/>
      <c r="D1588" s="559"/>
      <c r="E1588" s="559"/>
      <c r="F1588" s="559"/>
      <c r="G1588" s="558"/>
      <c r="H1588" s="559"/>
      <c r="I1588" s="559"/>
      <c r="J1588" s="559"/>
      <c r="K1588" s="560"/>
      <c r="L1588" s="560"/>
      <c r="M1588" s="560"/>
    </row>
    <row r="1589" spans="3:13" s="338" customFormat="1">
      <c r="C1589" s="558"/>
      <c r="D1589" s="559"/>
      <c r="E1589" s="559"/>
      <c r="F1589" s="559"/>
      <c r="G1589" s="558"/>
      <c r="H1589" s="559"/>
      <c r="I1589" s="559"/>
      <c r="J1589" s="559"/>
      <c r="K1589" s="560"/>
      <c r="L1589" s="560"/>
      <c r="M1589" s="560"/>
    </row>
    <row r="1590" spans="3:13" s="338" customFormat="1">
      <c r="C1590" s="558"/>
      <c r="D1590" s="559"/>
      <c r="E1590" s="559"/>
      <c r="F1590" s="559"/>
      <c r="G1590" s="558"/>
      <c r="H1590" s="559"/>
      <c r="I1590" s="559"/>
      <c r="J1590" s="559"/>
      <c r="K1590" s="560"/>
      <c r="L1590" s="560"/>
      <c r="M1590" s="560"/>
    </row>
    <row r="1591" spans="3:13" s="338" customFormat="1">
      <c r="C1591" s="558"/>
      <c r="D1591" s="559"/>
      <c r="E1591" s="559"/>
      <c r="F1591" s="559"/>
      <c r="G1591" s="558"/>
      <c r="H1591" s="559"/>
      <c r="I1591" s="559"/>
      <c r="J1591" s="559"/>
      <c r="K1591" s="560"/>
      <c r="L1591" s="560"/>
      <c r="M1591" s="560"/>
    </row>
    <row r="1592" spans="3:13" s="338" customFormat="1">
      <c r="C1592" s="558"/>
      <c r="D1592" s="559"/>
      <c r="E1592" s="559"/>
      <c r="F1592" s="559"/>
      <c r="G1592" s="558"/>
      <c r="H1592" s="559"/>
      <c r="I1592" s="559"/>
      <c r="J1592" s="559"/>
      <c r="K1592" s="560"/>
      <c r="L1592" s="560"/>
      <c r="M1592" s="560"/>
    </row>
    <row r="1593" spans="3:13" s="338" customFormat="1">
      <c r="C1593" s="558"/>
      <c r="D1593" s="559"/>
      <c r="E1593" s="559"/>
      <c r="F1593" s="559"/>
      <c r="G1593" s="558"/>
      <c r="H1593" s="559"/>
      <c r="I1593" s="559"/>
      <c r="J1593" s="559"/>
      <c r="K1593" s="560"/>
      <c r="L1593" s="560"/>
      <c r="M1593" s="560"/>
    </row>
    <row r="1594" spans="3:13" s="338" customFormat="1">
      <c r="C1594" s="558"/>
      <c r="D1594" s="559"/>
      <c r="E1594" s="559"/>
      <c r="F1594" s="559"/>
      <c r="G1594" s="558"/>
      <c r="H1594" s="559"/>
      <c r="I1594" s="559"/>
      <c r="J1594" s="559"/>
      <c r="K1594" s="560"/>
      <c r="L1594" s="560"/>
      <c r="M1594" s="560"/>
    </row>
    <row r="1595" spans="3:13" s="338" customFormat="1">
      <c r="C1595" s="558"/>
      <c r="D1595" s="559"/>
      <c r="E1595" s="559"/>
      <c r="F1595" s="559"/>
      <c r="G1595" s="558"/>
      <c r="H1595" s="559"/>
      <c r="I1595" s="559"/>
      <c r="J1595" s="559"/>
      <c r="K1595" s="560"/>
      <c r="L1595" s="560"/>
      <c r="M1595" s="560"/>
    </row>
    <row r="1596" spans="3:13" s="338" customFormat="1">
      <c r="C1596" s="558"/>
      <c r="D1596" s="559"/>
      <c r="E1596" s="559"/>
      <c r="F1596" s="559"/>
      <c r="G1596" s="558"/>
      <c r="H1596" s="559"/>
      <c r="I1596" s="559"/>
      <c r="J1596" s="559"/>
      <c r="K1596" s="560"/>
      <c r="L1596" s="560"/>
      <c r="M1596" s="560"/>
    </row>
    <row r="1597" spans="3:13" s="338" customFormat="1">
      <c r="C1597" s="558"/>
      <c r="D1597" s="559"/>
      <c r="E1597" s="559"/>
      <c r="F1597" s="559"/>
      <c r="G1597" s="558"/>
      <c r="H1597" s="559"/>
      <c r="I1597" s="559"/>
      <c r="J1597" s="559"/>
      <c r="K1597" s="560"/>
      <c r="L1597" s="560"/>
      <c r="M1597" s="560"/>
    </row>
    <row r="1598" spans="3:13" s="338" customFormat="1">
      <c r="C1598" s="558"/>
      <c r="D1598" s="559"/>
      <c r="E1598" s="559"/>
      <c r="F1598" s="559"/>
      <c r="G1598" s="558"/>
      <c r="H1598" s="559"/>
      <c r="I1598" s="559"/>
      <c r="J1598" s="559"/>
      <c r="K1598" s="560"/>
      <c r="L1598" s="560"/>
      <c r="M1598" s="560"/>
    </row>
    <row r="1599" spans="3:13" s="338" customFormat="1">
      <c r="C1599" s="558"/>
      <c r="D1599" s="559"/>
      <c r="E1599" s="559"/>
      <c r="F1599" s="559"/>
      <c r="G1599" s="558"/>
      <c r="H1599" s="559"/>
      <c r="I1599" s="559"/>
      <c r="J1599" s="559"/>
      <c r="K1599" s="560"/>
      <c r="L1599" s="560"/>
      <c r="M1599" s="560"/>
    </row>
    <row r="1600" spans="3:13" s="338" customFormat="1">
      <c r="C1600" s="558"/>
      <c r="D1600" s="559"/>
      <c r="E1600" s="559"/>
      <c r="F1600" s="559"/>
      <c r="G1600" s="558"/>
      <c r="H1600" s="559"/>
      <c r="I1600" s="559"/>
      <c r="J1600" s="559"/>
      <c r="K1600" s="560"/>
      <c r="L1600" s="560"/>
      <c r="M1600" s="560"/>
    </row>
    <row r="1601" spans="3:13" s="338" customFormat="1">
      <c r="C1601" s="558"/>
      <c r="D1601" s="559"/>
      <c r="E1601" s="559"/>
      <c r="F1601" s="559"/>
      <c r="G1601" s="558"/>
      <c r="H1601" s="559"/>
      <c r="I1601" s="559"/>
      <c r="J1601" s="559"/>
      <c r="K1601" s="560"/>
      <c r="L1601" s="560"/>
      <c r="M1601" s="560"/>
    </row>
    <row r="1602" spans="3:13" s="338" customFormat="1">
      <c r="C1602" s="558"/>
      <c r="D1602" s="559"/>
      <c r="E1602" s="559"/>
      <c r="F1602" s="559"/>
      <c r="G1602" s="558"/>
      <c r="H1602" s="559"/>
      <c r="I1602" s="559"/>
      <c r="J1602" s="559"/>
      <c r="K1602" s="560"/>
      <c r="L1602" s="560"/>
      <c r="M1602" s="560"/>
    </row>
    <row r="1603" spans="3:13" s="338" customFormat="1">
      <c r="C1603" s="558"/>
      <c r="D1603" s="559"/>
      <c r="E1603" s="559"/>
      <c r="F1603" s="559"/>
      <c r="G1603" s="558"/>
      <c r="H1603" s="559"/>
      <c r="I1603" s="559"/>
      <c r="J1603" s="559"/>
      <c r="K1603" s="560"/>
      <c r="L1603" s="560"/>
      <c r="M1603" s="560"/>
    </row>
    <row r="1604" spans="3:13" s="338" customFormat="1">
      <c r="C1604" s="558"/>
      <c r="D1604" s="559"/>
      <c r="E1604" s="559"/>
      <c r="F1604" s="559"/>
      <c r="G1604" s="558"/>
      <c r="H1604" s="559"/>
      <c r="I1604" s="559"/>
      <c r="J1604" s="559"/>
      <c r="K1604" s="560"/>
      <c r="L1604" s="560"/>
      <c r="M1604" s="560"/>
    </row>
    <row r="1605" spans="3:13" s="338" customFormat="1">
      <c r="C1605" s="558"/>
      <c r="D1605" s="559"/>
      <c r="E1605" s="559"/>
      <c r="F1605" s="559"/>
      <c r="G1605" s="558"/>
      <c r="H1605" s="559"/>
      <c r="I1605" s="559"/>
      <c r="J1605" s="559"/>
      <c r="K1605" s="560"/>
      <c r="L1605" s="560"/>
      <c r="M1605" s="560"/>
    </row>
    <row r="1606" spans="3:13" s="338" customFormat="1">
      <c r="C1606" s="558"/>
      <c r="D1606" s="559"/>
      <c r="E1606" s="559"/>
      <c r="F1606" s="559"/>
      <c r="G1606" s="558"/>
      <c r="H1606" s="559"/>
      <c r="I1606" s="559"/>
      <c r="J1606" s="559"/>
      <c r="K1606" s="560"/>
      <c r="L1606" s="560"/>
      <c r="M1606" s="560"/>
    </row>
    <row r="1607" spans="3:13" s="338" customFormat="1">
      <c r="C1607" s="558"/>
      <c r="D1607" s="559"/>
      <c r="E1607" s="559"/>
      <c r="F1607" s="559"/>
      <c r="G1607" s="558"/>
      <c r="H1607" s="559"/>
      <c r="I1607" s="559"/>
      <c r="J1607" s="559"/>
      <c r="K1607" s="560"/>
      <c r="L1607" s="560"/>
      <c r="M1607" s="560"/>
    </row>
    <row r="1608" spans="3:13" s="338" customFormat="1">
      <c r="C1608" s="558"/>
      <c r="D1608" s="559"/>
      <c r="E1608" s="559"/>
      <c r="F1608" s="559"/>
      <c r="G1608" s="558"/>
      <c r="H1608" s="559"/>
      <c r="I1608" s="559"/>
      <c r="J1608" s="559"/>
      <c r="K1608" s="560"/>
      <c r="L1608" s="560"/>
      <c r="M1608" s="560"/>
    </row>
    <row r="1609" spans="3:13" s="338" customFormat="1">
      <c r="C1609" s="558"/>
      <c r="D1609" s="559"/>
      <c r="E1609" s="559"/>
      <c r="F1609" s="559"/>
      <c r="G1609" s="558"/>
      <c r="H1609" s="559"/>
      <c r="I1609" s="559"/>
      <c r="J1609" s="559"/>
      <c r="K1609" s="560"/>
      <c r="L1609" s="560"/>
      <c r="M1609" s="560"/>
    </row>
    <row r="1610" spans="3:13" s="338" customFormat="1">
      <c r="C1610" s="558"/>
      <c r="D1610" s="559"/>
      <c r="E1610" s="559"/>
      <c r="F1610" s="559"/>
      <c r="G1610" s="558"/>
      <c r="H1610" s="559"/>
      <c r="I1610" s="559"/>
      <c r="J1610" s="559"/>
      <c r="K1610" s="560"/>
      <c r="L1610" s="560"/>
      <c r="M1610" s="560"/>
    </row>
    <row r="1611" spans="3:13" s="338" customFormat="1">
      <c r="C1611" s="558"/>
      <c r="D1611" s="559"/>
      <c r="E1611" s="559"/>
      <c r="F1611" s="559"/>
      <c r="G1611" s="558"/>
      <c r="H1611" s="559"/>
      <c r="I1611" s="559"/>
      <c r="J1611" s="559"/>
      <c r="K1611" s="560"/>
      <c r="L1611" s="560"/>
      <c r="M1611" s="560"/>
    </row>
    <row r="1612" spans="3:13" s="338" customFormat="1">
      <c r="C1612" s="558"/>
      <c r="D1612" s="559"/>
      <c r="E1612" s="559"/>
      <c r="F1612" s="559"/>
      <c r="G1612" s="558"/>
      <c r="H1612" s="559"/>
      <c r="I1612" s="559"/>
      <c r="J1612" s="559"/>
      <c r="K1612" s="560"/>
      <c r="L1612" s="560"/>
      <c r="M1612" s="560"/>
    </row>
    <row r="1613" spans="3:13" s="338" customFormat="1">
      <c r="C1613" s="558"/>
      <c r="D1613" s="559"/>
      <c r="E1613" s="559"/>
      <c r="F1613" s="559"/>
      <c r="G1613" s="558"/>
      <c r="H1613" s="559"/>
      <c r="I1613" s="559"/>
      <c r="J1613" s="559"/>
      <c r="K1613" s="560"/>
      <c r="L1613" s="560"/>
      <c r="M1613" s="560"/>
    </row>
    <row r="1614" spans="3:13" s="338" customFormat="1">
      <c r="C1614" s="558"/>
      <c r="D1614" s="559"/>
      <c r="E1614" s="559"/>
      <c r="F1614" s="559"/>
      <c r="G1614" s="558"/>
      <c r="H1614" s="559"/>
      <c r="I1614" s="559"/>
      <c r="J1614" s="559"/>
      <c r="K1614" s="560"/>
      <c r="L1614" s="560"/>
      <c r="M1614" s="560"/>
    </row>
    <row r="1615" spans="3:13" s="338" customFormat="1">
      <c r="C1615" s="558"/>
      <c r="D1615" s="559"/>
      <c r="E1615" s="559"/>
      <c r="F1615" s="559"/>
      <c r="G1615" s="558"/>
      <c r="H1615" s="559"/>
      <c r="I1615" s="559"/>
      <c r="J1615" s="559"/>
      <c r="K1615" s="560"/>
      <c r="L1615" s="560"/>
      <c r="M1615" s="560"/>
    </row>
    <row r="1616" spans="3:13" s="338" customFormat="1">
      <c r="C1616" s="558"/>
      <c r="D1616" s="559"/>
      <c r="E1616" s="559"/>
      <c r="F1616" s="559"/>
      <c r="G1616" s="558"/>
      <c r="H1616" s="559"/>
      <c r="I1616" s="559"/>
      <c r="J1616" s="559"/>
      <c r="K1616" s="560"/>
      <c r="L1616" s="560"/>
      <c r="M1616" s="560"/>
    </row>
    <row r="1617" spans="3:13" s="338" customFormat="1">
      <c r="C1617" s="558"/>
      <c r="D1617" s="559"/>
      <c r="E1617" s="559"/>
      <c r="F1617" s="559"/>
      <c r="G1617" s="558"/>
      <c r="H1617" s="559"/>
      <c r="I1617" s="559"/>
      <c r="J1617" s="559"/>
      <c r="K1617" s="560"/>
      <c r="L1617" s="560"/>
      <c r="M1617" s="560"/>
    </row>
    <row r="1618" spans="3:13" s="338" customFormat="1">
      <c r="C1618" s="558"/>
      <c r="D1618" s="559"/>
      <c r="E1618" s="559"/>
      <c r="F1618" s="559"/>
      <c r="G1618" s="558"/>
      <c r="H1618" s="559"/>
      <c r="I1618" s="559"/>
      <c r="J1618" s="559"/>
      <c r="K1618" s="560"/>
      <c r="L1618" s="560"/>
      <c r="M1618" s="560"/>
    </row>
    <row r="1619" spans="3:13" s="338" customFormat="1">
      <c r="C1619" s="558"/>
      <c r="D1619" s="559"/>
      <c r="E1619" s="559"/>
      <c r="F1619" s="559"/>
      <c r="G1619" s="558"/>
      <c r="H1619" s="559"/>
      <c r="I1619" s="559"/>
      <c r="J1619" s="559"/>
      <c r="K1619" s="560"/>
      <c r="L1619" s="560"/>
      <c r="M1619" s="560"/>
    </row>
    <row r="1620" spans="3:13" s="338" customFormat="1">
      <c r="C1620" s="558"/>
      <c r="D1620" s="559"/>
      <c r="E1620" s="559"/>
      <c r="F1620" s="559"/>
      <c r="G1620" s="558"/>
      <c r="H1620" s="559"/>
      <c r="I1620" s="559"/>
      <c r="J1620" s="559"/>
      <c r="K1620" s="560"/>
      <c r="L1620" s="560"/>
      <c r="M1620" s="560"/>
    </row>
    <row r="1621" spans="3:13" s="338" customFormat="1">
      <c r="C1621" s="558"/>
      <c r="D1621" s="559"/>
      <c r="E1621" s="559"/>
      <c r="F1621" s="559"/>
      <c r="G1621" s="558"/>
      <c r="H1621" s="559"/>
      <c r="I1621" s="559"/>
      <c r="J1621" s="559"/>
      <c r="K1621" s="560"/>
      <c r="L1621" s="560"/>
      <c r="M1621" s="560"/>
    </row>
    <row r="1622" spans="3:13" s="338" customFormat="1">
      <c r="C1622" s="558"/>
      <c r="D1622" s="559"/>
      <c r="E1622" s="559"/>
      <c r="F1622" s="559"/>
      <c r="G1622" s="558"/>
      <c r="H1622" s="559"/>
      <c r="I1622" s="559"/>
      <c r="J1622" s="559"/>
      <c r="K1622" s="560"/>
      <c r="L1622" s="560"/>
      <c r="M1622" s="560"/>
    </row>
    <row r="1623" spans="3:13" s="338" customFormat="1">
      <c r="C1623" s="558"/>
      <c r="D1623" s="559"/>
      <c r="E1623" s="559"/>
      <c r="F1623" s="559"/>
      <c r="G1623" s="558"/>
      <c r="H1623" s="559"/>
      <c r="I1623" s="559"/>
      <c r="J1623" s="559"/>
      <c r="K1623" s="560"/>
      <c r="L1623" s="560"/>
      <c r="M1623" s="560"/>
    </row>
    <row r="1624" spans="3:13" s="338" customFormat="1">
      <c r="C1624" s="558"/>
      <c r="D1624" s="559"/>
      <c r="E1624" s="559"/>
      <c r="F1624" s="559"/>
      <c r="G1624" s="558"/>
      <c r="H1624" s="559"/>
      <c r="I1624" s="559"/>
      <c r="J1624" s="559"/>
      <c r="K1624" s="560"/>
      <c r="L1624" s="560"/>
      <c r="M1624" s="560"/>
    </row>
    <row r="1625" spans="3:13" s="338" customFormat="1">
      <c r="C1625" s="558"/>
      <c r="D1625" s="559"/>
      <c r="E1625" s="559"/>
      <c r="F1625" s="559"/>
      <c r="G1625" s="558"/>
      <c r="H1625" s="559"/>
      <c r="I1625" s="559"/>
      <c r="J1625" s="559"/>
      <c r="K1625" s="560"/>
      <c r="L1625" s="560"/>
      <c r="M1625" s="560"/>
    </row>
    <row r="1626" spans="3:13" s="338" customFormat="1">
      <c r="C1626" s="558"/>
      <c r="D1626" s="559"/>
      <c r="E1626" s="559"/>
      <c r="F1626" s="559"/>
      <c r="G1626" s="558"/>
      <c r="H1626" s="559"/>
      <c r="I1626" s="559"/>
      <c r="J1626" s="559"/>
      <c r="K1626" s="560"/>
      <c r="L1626" s="560"/>
      <c r="M1626" s="560"/>
    </row>
    <row r="1627" spans="3:13" s="338" customFormat="1">
      <c r="C1627" s="558"/>
      <c r="D1627" s="559"/>
      <c r="E1627" s="559"/>
      <c r="F1627" s="559"/>
      <c r="G1627" s="558"/>
      <c r="H1627" s="559"/>
      <c r="I1627" s="559"/>
      <c r="J1627" s="559"/>
      <c r="K1627" s="560"/>
      <c r="L1627" s="560"/>
      <c r="M1627" s="560"/>
    </row>
    <row r="1628" spans="3:13" s="338" customFormat="1">
      <c r="C1628" s="558"/>
      <c r="D1628" s="559"/>
      <c r="E1628" s="559"/>
      <c r="F1628" s="559"/>
      <c r="G1628" s="558"/>
      <c r="H1628" s="559"/>
      <c r="I1628" s="559"/>
      <c r="J1628" s="559"/>
      <c r="K1628" s="560"/>
      <c r="L1628" s="560"/>
      <c r="M1628" s="560"/>
    </row>
    <row r="1629" spans="3:13" s="338" customFormat="1">
      <c r="C1629" s="558"/>
      <c r="D1629" s="559"/>
      <c r="E1629" s="559"/>
      <c r="F1629" s="559"/>
      <c r="G1629" s="558"/>
      <c r="H1629" s="559"/>
      <c r="I1629" s="559"/>
      <c r="J1629" s="559"/>
      <c r="K1629" s="560"/>
      <c r="L1629" s="560"/>
      <c r="M1629" s="560"/>
    </row>
    <row r="1630" spans="3:13" s="338" customFormat="1">
      <c r="C1630" s="558"/>
      <c r="D1630" s="559"/>
      <c r="E1630" s="559"/>
      <c r="F1630" s="559"/>
      <c r="G1630" s="558"/>
      <c r="H1630" s="559"/>
      <c r="I1630" s="559"/>
      <c r="J1630" s="559"/>
      <c r="K1630" s="560"/>
      <c r="L1630" s="560"/>
      <c r="M1630" s="560"/>
    </row>
    <row r="1631" spans="3:13" s="338" customFormat="1">
      <c r="C1631" s="558"/>
      <c r="D1631" s="559"/>
      <c r="E1631" s="559"/>
      <c r="F1631" s="559"/>
      <c r="G1631" s="558"/>
      <c r="H1631" s="559"/>
      <c r="I1631" s="559"/>
      <c r="J1631" s="559"/>
      <c r="K1631" s="560"/>
      <c r="L1631" s="560"/>
      <c r="M1631" s="560"/>
    </row>
    <row r="1632" spans="3:13" s="338" customFormat="1">
      <c r="C1632" s="558"/>
      <c r="D1632" s="559"/>
      <c r="E1632" s="559"/>
      <c r="F1632" s="559"/>
      <c r="G1632" s="558"/>
      <c r="H1632" s="559"/>
      <c r="I1632" s="559"/>
      <c r="J1632" s="559"/>
      <c r="K1632" s="560"/>
      <c r="L1632" s="560"/>
      <c r="M1632" s="560"/>
    </row>
    <row r="1633" spans="3:13" s="338" customFormat="1">
      <c r="C1633" s="558"/>
      <c r="D1633" s="559"/>
      <c r="E1633" s="559"/>
      <c r="F1633" s="559"/>
      <c r="G1633" s="558"/>
      <c r="H1633" s="559"/>
      <c r="I1633" s="559"/>
      <c r="J1633" s="559"/>
      <c r="K1633" s="560"/>
      <c r="L1633" s="560"/>
      <c r="M1633" s="560"/>
    </row>
    <row r="1634" spans="3:13" s="338" customFormat="1">
      <c r="C1634" s="558"/>
      <c r="D1634" s="559"/>
      <c r="E1634" s="559"/>
      <c r="F1634" s="559"/>
      <c r="G1634" s="558"/>
      <c r="H1634" s="559"/>
      <c r="I1634" s="559"/>
      <c r="J1634" s="559"/>
      <c r="K1634" s="560"/>
      <c r="L1634" s="560"/>
      <c r="M1634" s="560"/>
    </row>
    <row r="1635" spans="3:13" s="338" customFormat="1">
      <c r="C1635" s="558"/>
      <c r="D1635" s="559"/>
      <c r="E1635" s="559"/>
      <c r="F1635" s="559"/>
      <c r="G1635" s="558"/>
      <c r="H1635" s="559"/>
      <c r="I1635" s="559"/>
      <c r="J1635" s="559"/>
      <c r="K1635" s="560"/>
      <c r="L1635" s="560"/>
      <c r="M1635" s="560"/>
    </row>
    <row r="1636" spans="3:13" s="338" customFormat="1">
      <c r="C1636" s="558"/>
      <c r="D1636" s="559"/>
      <c r="E1636" s="559"/>
      <c r="F1636" s="559"/>
      <c r="G1636" s="558"/>
      <c r="H1636" s="559"/>
      <c r="I1636" s="559"/>
      <c r="J1636" s="559"/>
      <c r="K1636" s="560"/>
      <c r="L1636" s="560"/>
      <c r="M1636" s="560"/>
    </row>
    <row r="1637" spans="3:13" s="338" customFormat="1">
      <c r="C1637" s="558"/>
      <c r="D1637" s="559"/>
      <c r="E1637" s="559"/>
      <c r="F1637" s="559"/>
      <c r="G1637" s="558"/>
      <c r="H1637" s="559"/>
      <c r="I1637" s="559"/>
      <c r="J1637" s="559"/>
      <c r="K1637" s="560"/>
      <c r="L1637" s="560"/>
      <c r="M1637" s="560"/>
    </row>
    <row r="1638" spans="3:13" s="338" customFormat="1">
      <c r="C1638" s="558"/>
      <c r="D1638" s="559"/>
      <c r="E1638" s="559"/>
      <c r="F1638" s="559"/>
      <c r="G1638" s="558"/>
      <c r="H1638" s="559"/>
      <c r="I1638" s="559"/>
      <c r="J1638" s="559"/>
      <c r="K1638" s="560"/>
      <c r="L1638" s="560"/>
      <c r="M1638" s="560"/>
    </row>
    <row r="1639" spans="3:13" s="338" customFormat="1">
      <c r="C1639" s="558"/>
      <c r="D1639" s="559"/>
      <c r="E1639" s="559"/>
      <c r="F1639" s="559"/>
      <c r="G1639" s="558"/>
      <c r="H1639" s="559"/>
      <c r="I1639" s="559"/>
      <c r="J1639" s="559"/>
      <c r="K1639" s="560"/>
      <c r="L1639" s="560"/>
      <c r="M1639" s="560"/>
    </row>
    <row r="1640" spans="3:13" s="338" customFormat="1">
      <c r="C1640" s="558"/>
      <c r="D1640" s="559"/>
      <c r="E1640" s="559"/>
      <c r="F1640" s="559"/>
      <c r="G1640" s="558"/>
      <c r="H1640" s="559"/>
      <c r="I1640" s="559"/>
      <c r="J1640" s="559"/>
      <c r="K1640" s="560"/>
      <c r="L1640" s="560"/>
      <c r="M1640" s="560"/>
    </row>
    <row r="1641" spans="3:13" s="338" customFormat="1">
      <c r="C1641" s="558"/>
      <c r="D1641" s="559"/>
      <c r="E1641" s="559"/>
      <c r="F1641" s="559"/>
      <c r="G1641" s="558"/>
      <c r="H1641" s="559"/>
      <c r="I1641" s="559"/>
      <c r="J1641" s="559"/>
      <c r="K1641" s="560"/>
      <c r="L1641" s="560"/>
      <c r="M1641" s="560"/>
    </row>
    <row r="1642" spans="3:13" s="338" customFormat="1">
      <c r="C1642" s="558"/>
      <c r="D1642" s="559"/>
      <c r="E1642" s="559"/>
      <c r="F1642" s="559"/>
      <c r="G1642" s="558"/>
      <c r="H1642" s="559"/>
      <c r="I1642" s="559"/>
      <c r="J1642" s="559"/>
      <c r="K1642" s="560"/>
      <c r="L1642" s="560"/>
      <c r="M1642" s="560"/>
    </row>
    <row r="1643" spans="3:13" s="338" customFormat="1">
      <c r="C1643" s="558"/>
      <c r="D1643" s="559"/>
      <c r="E1643" s="559"/>
      <c r="F1643" s="559"/>
      <c r="G1643" s="558"/>
      <c r="H1643" s="559"/>
      <c r="I1643" s="559"/>
      <c r="J1643" s="559"/>
      <c r="K1643" s="560"/>
      <c r="L1643" s="560"/>
      <c r="M1643" s="560"/>
    </row>
    <row r="1644" spans="3:13" s="338" customFormat="1">
      <c r="C1644" s="558"/>
      <c r="D1644" s="559"/>
      <c r="E1644" s="559"/>
      <c r="F1644" s="559"/>
      <c r="G1644" s="558"/>
      <c r="H1644" s="559"/>
      <c r="I1644" s="559"/>
      <c r="J1644" s="559"/>
      <c r="K1644" s="560"/>
      <c r="L1644" s="560"/>
      <c r="M1644" s="560"/>
    </row>
    <row r="1645" spans="3:13" s="338" customFormat="1">
      <c r="C1645" s="558"/>
      <c r="D1645" s="559"/>
      <c r="E1645" s="559"/>
      <c r="F1645" s="559"/>
      <c r="G1645" s="558"/>
      <c r="H1645" s="559"/>
      <c r="I1645" s="559"/>
      <c r="J1645" s="559"/>
      <c r="K1645" s="560"/>
      <c r="L1645" s="560"/>
      <c r="M1645" s="560"/>
    </row>
    <row r="1646" spans="3:13" s="338" customFormat="1">
      <c r="C1646" s="558"/>
      <c r="D1646" s="559"/>
      <c r="E1646" s="559"/>
      <c r="F1646" s="559"/>
      <c r="G1646" s="558"/>
      <c r="H1646" s="559"/>
      <c r="I1646" s="559"/>
      <c r="J1646" s="559"/>
      <c r="K1646" s="560"/>
      <c r="L1646" s="560"/>
      <c r="M1646" s="560"/>
    </row>
    <row r="1647" spans="3:13" s="338" customFormat="1">
      <c r="C1647" s="558"/>
      <c r="D1647" s="559"/>
      <c r="E1647" s="559"/>
      <c r="F1647" s="559"/>
      <c r="G1647" s="558"/>
      <c r="H1647" s="559"/>
      <c r="I1647" s="559"/>
      <c r="J1647" s="559"/>
      <c r="K1647" s="560"/>
      <c r="L1647" s="560"/>
      <c r="M1647" s="560"/>
    </row>
    <row r="1648" spans="3:13" s="338" customFormat="1">
      <c r="C1648" s="558"/>
      <c r="D1648" s="559"/>
      <c r="E1648" s="559"/>
      <c r="F1648" s="559"/>
      <c r="G1648" s="558"/>
      <c r="H1648" s="559"/>
      <c r="I1648" s="559"/>
      <c r="J1648" s="559"/>
      <c r="K1648" s="560"/>
      <c r="L1648" s="560"/>
      <c r="M1648" s="560"/>
    </row>
    <row r="1649" spans="3:13" s="338" customFormat="1">
      <c r="C1649" s="558"/>
      <c r="D1649" s="559"/>
      <c r="E1649" s="559"/>
      <c r="F1649" s="559"/>
      <c r="G1649" s="558"/>
      <c r="H1649" s="559"/>
      <c r="I1649" s="559"/>
      <c r="J1649" s="559"/>
      <c r="K1649" s="560"/>
      <c r="L1649" s="560"/>
      <c r="M1649" s="560"/>
    </row>
    <row r="1650" spans="3:13" s="338" customFormat="1">
      <c r="C1650" s="558"/>
      <c r="D1650" s="559"/>
      <c r="E1650" s="559"/>
      <c r="F1650" s="559"/>
      <c r="G1650" s="558"/>
      <c r="H1650" s="559"/>
      <c r="I1650" s="559"/>
      <c r="J1650" s="559"/>
      <c r="K1650" s="560"/>
      <c r="L1650" s="560"/>
      <c r="M1650" s="560"/>
    </row>
    <row r="1651" spans="3:13" s="338" customFormat="1">
      <c r="C1651" s="558"/>
      <c r="D1651" s="559"/>
      <c r="E1651" s="559"/>
      <c r="F1651" s="559"/>
      <c r="G1651" s="558"/>
      <c r="H1651" s="559"/>
      <c r="I1651" s="559"/>
      <c r="J1651" s="559"/>
      <c r="K1651" s="560"/>
      <c r="L1651" s="560"/>
      <c r="M1651" s="560"/>
    </row>
    <row r="1652" spans="3:13" s="338" customFormat="1">
      <c r="C1652" s="558"/>
      <c r="D1652" s="559"/>
      <c r="E1652" s="559"/>
      <c r="F1652" s="559"/>
      <c r="G1652" s="558"/>
      <c r="H1652" s="559"/>
      <c r="I1652" s="559"/>
      <c r="J1652" s="559"/>
      <c r="K1652" s="560"/>
      <c r="L1652" s="560"/>
      <c r="M1652" s="560"/>
    </row>
    <row r="1653" spans="3:13" s="338" customFormat="1">
      <c r="C1653" s="558"/>
      <c r="D1653" s="559"/>
      <c r="E1653" s="559"/>
      <c r="F1653" s="559"/>
      <c r="G1653" s="558"/>
      <c r="H1653" s="559"/>
      <c r="I1653" s="559"/>
      <c r="J1653" s="559"/>
      <c r="K1653" s="560"/>
      <c r="L1653" s="560"/>
      <c r="M1653" s="560"/>
    </row>
    <row r="1654" spans="3:13" s="338" customFormat="1">
      <c r="C1654" s="558"/>
      <c r="D1654" s="559"/>
      <c r="E1654" s="559"/>
      <c r="F1654" s="559"/>
      <c r="G1654" s="558"/>
      <c r="H1654" s="559"/>
      <c r="I1654" s="559"/>
      <c r="J1654" s="559"/>
      <c r="K1654" s="560"/>
      <c r="L1654" s="560"/>
      <c r="M1654" s="560"/>
    </row>
    <row r="1655" spans="3:13" s="338" customFormat="1">
      <c r="C1655" s="558"/>
      <c r="D1655" s="559"/>
      <c r="E1655" s="559"/>
      <c r="F1655" s="559"/>
      <c r="G1655" s="558"/>
      <c r="H1655" s="559"/>
      <c r="I1655" s="559"/>
      <c r="J1655" s="559"/>
      <c r="K1655" s="560"/>
      <c r="L1655" s="560"/>
      <c r="M1655" s="560"/>
    </row>
    <row r="1656" spans="3:13" s="338" customFormat="1">
      <c r="C1656" s="558"/>
      <c r="D1656" s="559"/>
      <c r="E1656" s="559"/>
      <c r="F1656" s="559"/>
      <c r="G1656" s="558"/>
      <c r="H1656" s="559"/>
      <c r="I1656" s="559"/>
      <c r="J1656" s="559"/>
      <c r="K1656" s="560"/>
      <c r="L1656" s="560"/>
      <c r="M1656" s="560"/>
    </row>
    <row r="1657" spans="3:13" s="338" customFormat="1">
      <c r="C1657" s="558"/>
      <c r="D1657" s="559"/>
      <c r="E1657" s="559"/>
      <c r="F1657" s="559"/>
      <c r="G1657" s="558"/>
      <c r="H1657" s="559"/>
      <c r="I1657" s="559"/>
      <c r="J1657" s="559"/>
      <c r="K1657" s="560"/>
      <c r="L1657" s="560"/>
      <c r="M1657" s="560"/>
    </row>
    <row r="1658" spans="3:13" s="338" customFormat="1">
      <c r="C1658" s="558"/>
      <c r="D1658" s="559"/>
      <c r="E1658" s="559"/>
      <c r="F1658" s="559"/>
      <c r="G1658" s="558"/>
      <c r="H1658" s="559"/>
      <c r="I1658" s="559"/>
      <c r="J1658" s="559"/>
      <c r="K1658" s="560"/>
      <c r="L1658" s="560"/>
      <c r="M1658" s="560"/>
    </row>
    <row r="1659" spans="3:13" s="338" customFormat="1">
      <c r="C1659" s="558"/>
      <c r="D1659" s="559"/>
      <c r="E1659" s="559"/>
      <c r="F1659" s="559"/>
      <c r="G1659" s="558"/>
      <c r="H1659" s="559"/>
      <c r="I1659" s="559"/>
      <c r="J1659" s="559"/>
      <c r="K1659" s="560"/>
      <c r="L1659" s="560"/>
      <c r="M1659" s="560"/>
    </row>
    <row r="1660" spans="3:13" s="338" customFormat="1">
      <c r="C1660" s="558"/>
      <c r="D1660" s="559"/>
      <c r="E1660" s="559"/>
      <c r="F1660" s="559"/>
      <c r="G1660" s="558"/>
      <c r="H1660" s="559"/>
      <c r="I1660" s="559"/>
      <c r="J1660" s="559"/>
      <c r="K1660" s="560"/>
      <c r="L1660" s="560"/>
      <c r="M1660" s="560"/>
    </row>
    <row r="1661" spans="3:13" s="338" customFormat="1">
      <c r="C1661" s="558"/>
      <c r="D1661" s="559"/>
      <c r="E1661" s="559"/>
      <c r="F1661" s="559"/>
      <c r="G1661" s="558"/>
      <c r="H1661" s="559"/>
      <c r="I1661" s="559"/>
      <c r="J1661" s="559"/>
      <c r="K1661" s="560"/>
      <c r="L1661" s="560"/>
      <c r="M1661" s="560"/>
    </row>
    <row r="1662" spans="3:13" s="338" customFormat="1">
      <c r="C1662" s="558"/>
      <c r="D1662" s="559"/>
      <c r="E1662" s="559"/>
      <c r="F1662" s="559"/>
      <c r="G1662" s="558"/>
      <c r="H1662" s="559"/>
      <c r="I1662" s="559"/>
      <c r="J1662" s="559"/>
      <c r="K1662" s="560"/>
      <c r="L1662" s="560"/>
      <c r="M1662" s="560"/>
    </row>
    <row r="1663" spans="3:13" s="338" customFormat="1">
      <c r="C1663" s="558"/>
      <c r="D1663" s="559"/>
      <c r="E1663" s="559"/>
      <c r="F1663" s="559"/>
      <c r="G1663" s="558"/>
      <c r="H1663" s="559"/>
      <c r="I1663" s="559"/>
      <c r="J1663" s="559"/>
      <c r="K1663" s="560"/>
      <c r="L1663" s="560"/>
      <c r="M1663" s="560"/>
    </row>
    <row r="1664" spans="3:13" s="338" customFormat="1">
      <c r="C1664" s="558"/>
      <c r="D1664" s="559"/>
      <c r="E1664" s="559"/>
      <c r="F1664" s="559"/>
      <c r="G1664" s="558"/>
      <c r="H1664" s="559"/>
      <c r="I1664" s="559"/>
      <c r="J1664" s="559"/>
      <c r="K1664" s="560"/>
      <c r="L1664" s="560"/>
      <c r="M1664" s="560"/>
    </row>
    <row r="1665" spans="3:13" s="338" customFormat="1">
      <c r="C1665" s="558"/>
      <c r="D1665" s="559"/>
      <c r="E1665" s="559"/>
      <c r="F1665" s="559"/>
      <c r="G1665" s="558"/>
      <c r="H1665" s="559"/>
      <c r="I1665" s="559"/>
      <c r="J1665" s="559"/>
      <c r="K1665" s="560"/>
      <c r="L1665" s="560"/>
      <c r="M1665" s="560"/>
    </row>
    <row r="1666" spans="3:13" s="338" customFormat="1">
      <c r="C1666" s="558"/>
      <c r="D1666" s="559"/>
      <c r="E1666" s="559"/>
      <c r="F1666" s="559"/>
      <c r="G1666" s="558"/>
      <c r="H1666" s="559"/>
      <c r="I1666" s="559"/>
      <c r="J1666" s="559"/>
      <c r="K1666" s="560"/>
      <c r="L1666" s="560"/>
      <c r="M1666" s="560"/>
    </row>
    <row r="1667" spans="3:13" s="338" customFormat="1">
      <c r="C1667" s="558"/>
      <c r="D1667" s="559"/>
      <c r="E1667" s="559"/>
      <c r="F1667" s="559"/>
      <c r="G1667" s="558"/>
      <c r="H1667" s="559"/>
      <c r="I1667" s="559"/>
      <c r="J1667" s="559"/>
      <c r="K1667" s="560"/>
      <c r="L1667" s="560"/>
      <c r="M1667" s="560"/>
    </row>
    <row r="1668" spans="3:13" s="338" customFormat="1">
      <c r="C1668" s="558"/>
      <c r="D1668" s="559"/>
      <c r="E1668" s="559"/>
      <c r="F1668" s="559"/>
      <c r="G1668" s="558"/>
      <c r="H1668" s="559"/>
      <c r="I1668" s="559"/>
      <c r="J1668" s="559"/>
      <c r="K1668" s="560"/>
      <c r="L1668" s="560"/>
      <c r="M1668" s="560"/>
    </row>
    <row r="1669" spans="3:13" s="338" customFormat="1">
      <c r="C1669" s="558"/>
      <c r="D1669" s="559"/>
      <c r="E1669" s="559"/>
      <c r="F1669" s="559"/>
      <c r="G1669" s="558"/>
      <c r="H1669" s="559"/>
      <c r="I1669" s="559"/>
      <c r="J1669" s="559"/>
      <c r="K1669" s="560"/>
      <c r="L1669" s="560"/>
      <c r="M1669" s="560"/>
    </row>
    <row r="1670" spans="3:13" s="338" customFormat="1">
      <c r="C1670" s="558"/>
      <c r="D1670" s="559"/>
      <c r="E1670" s="559"/>
      <c r="F1670" s="559"/>
      <c r="G1670" s="558"/>
      <c r="H1670" s="559"/>
      <c r="I1670" s="559"/>
      <c r="J1670" s="559"/>
      <c r="K1670" s="560"/>
      <c r="L1670" s="560"/>
      <c r="M1670" s="560"/>
    </row>
    <row r="1671" spans="3:13" s="338" customFormat="1">
      <c r="C1671" s="558"/>
      <c r="D1671" s="559"/>
      <c r="E1671" s="559"/>
      <c r="F1671" s="559"/>
      <c r="G1671" s="558"/>
      <c r="H1671" s="559"/>
      <c r="I1671" s="559"/>
      <c r="J1671" s="559"/>
      <c r="K1671" s="560"/>
      <c r="L1671" s="560"/>
      <c r="M1671" s="560"/>
    </row>
    <row r="1672" spans="3:13" s="338" customFormat="1">
      <c r="C1672" s="558"/>
      <c r="D1672" s="559"/>
      <c r="E1672" s="559"/>
      <c r="F1672" s="559"/>
      <c r="G1672" s="558"/>
      <c r="H1672" s="559"/>
      <c r="I1672" s="559"/>
      <c r="J1672" s="559"/>
      <c r="K1672" s="560"/>
      <c r="L1672" s="560"/>
      <c r="M1672" s="560"/>
    </row>
    <row r="1673" spans="3:13" s="338" customFormat="1">
      <c r="C1673" s="558"/>
      <c r="D1673" s="559"/>
      <c r="E1673" s="559"/>
      <c r="F1673" s="559"/>
      <c r="G1673" s="558"/>
      <c r="H1673" s="559"/>
      <c r="I1673" s="559"/>
      <c r="J1673" s="559"/>
      <c r="K1673" s="560"/>
      <c r="L1673" s="560"/>
      <c r="M1673" s="560"/>
    </row>
    <row r="1674" spans="3:13" s="338" customFormat="1">
      <c r="C1674" s="558"/>
      <c r="D1674" s="559"/>
      <c r="E1674" s="559"/>
      <c r="F1674" s="559"/>
      <c r="G1674" s="558"/>
      <c r="H1674" s="559"/>
      <c r="I1674" s="559"/>
      <c r="J1674" s="559"/>
      <c r="K1674" s="560"/>
      <c r="L1674" s="560"/>
      <c r="M1674" s="560"/>
    </row>
    <row r="1675" spans="3:13" s="338" customFormat="1">
      <c r="C1675" s="558"/>
      <c r="D1675" s="559"/>
      <c r="E1675" s="559"/>
      <c r="F1675" s="559"/>
      <c r="G1675" s="558"/>
      <c r="H1675" s="559"/>
      <c r="I1675" s="559"/>
      <c r="J1675" s="559"/>
      <c r="K1675" s="560"/>
      <c r="L1675" s="560"/>
      <c r="M1675" s="560"/>
    </row>
    <row r="1676" spans="3:13" s="338" customFormat="1">
      <c r="C1676" s="558"/>
      <c r="D1676" s="559"/>
      <c r="E1676" s="559"/>
      <c r="F1676" s="559"/>
      <c r="G1676" s="558"/>
      <c r="H1676" s="559"/>
      <c r="I1676" s="559"/>
      <c r="J1676" s="559"/>
      <c r="K1676" s="560"/>
      <c r="L1676" s="560"/>
      <c r="M1676" s="560"/>
    </row>
    <row r="1677" spans="3:13" s="338" customFormat="1">
      <c r="C1677" s="558"/>
      <c r="D1677" s="559"/>
      <c r="E1677" s="559"/>
      <c r="F1677" s="559"/>
      <c r="G1677" s="558"/>
      <c r="H1677" s="559"/>
      <c r="I1677" s="559"/>
      <c r="J1677" s="559"/>
      <c r="K1677" s="560"/>
      <c r="L1677" s="560"/>
      <c r="M1677" s="560"/>
    </row>
    <row r="1678" spans="3:13" s="338" customFormat="1">
      <c r="C1678" s="558"/>
      <c r="D1678" s="559"/>
      <c r="E1678" s="559"/>
      <c r="F1678" s="559"/>
      <c r="G1678" s="558"/>
      <c r="H1678" s="559"/>
      <c r="I1678" s="559"/>
      <c r="J1678" s="559"/>
      <c r="K1678" s="560"/>
      <c r="L1678" s="560"/>
      <c r="M1678" s="560"/>
    </row>
    <row r="1679" spans="3:13" s="338" customFormat="1">
      <c r="C1679" s="558"/>
      <c r="D1679" s="559"/>
      <c r="E1679" s="559"/>
      <c r="F1679" s="559"/>
      <c r="G1679" s="558"/>
      <c r="H1679" s="559"/>
      <c r="I1679" s="559"/>
      <c r="J1679" s="559"/>
      <c r="K1679" s="560"/>
      <c r="L1679" s="560"/>
      <c r="M1679" s="560"/>
    </row>
    <row r="1680" spans="3:13" s="338" customFormat="1">
      <c r="C1680" s="558"/>
      <c r="D1680" s="559"/>
      <c r="E1680" s="559"/>
      <c r="F1680" s="559"/>
      <c r="G1680" s="558"/>
      <c r="H1680" s="559"/>
      <c r="I1680" s="559"/>
      <c r="J1680" s="559"/>
      <c r="K1680" s="560"/>
      <c r="L1680" s="560"/>
      <c r="M1680" s="560"/>
    </row>
    <row r="1681" spans="3:13" s="338" customFormat="1">
      <c r="C1681" s="558"/>
      <c r="D1681" s="559"/>
      <c r="E1681" s="559"/>
      <c r="F1681" s="559"/>
      <c r="G1681" s="558"/>
      <c r="H1681" s="559"/>
      <c r="I1681" s="559"/>
      <c r="J1681" s="559"/>
      <c r="K1681" s="560"/>
      <c r="L1681" s="560"/>
      <c r="M1681" s="560"/>
    </row>
    <row r="1682" spans="3:13" s="338" customFormat="1">
      <c r="C1682" s="558"/>
      <c r="D1682" s="559"/>
      <c r="E1682" s="559"/>
      <c r="F1682" s="559"/>
      <c r="G1682" s="558"/>
      <c r="H1682" s="559"/>
      <c r="I1682" s="559"/>
      <c r="J1682" s="559"/>
      <c r="K1682" s="560"/>
      <c r="L1682" s="560"/>
      <c r="M1682" s="560"/>
    </row>
    <row r="1683" spans="3:13" s="338" customFormat="1">
      <c r="C1683" s="558"/>
      <c r="D1683" s="559"/>
      <c r="E1683" s="559"/>
      <c r="F1683" s="559"/>
      <c r="G1683" s="558"/>
      <c r="H1683" s="559"/>
      <c r="I1683" s="559"/>
      <c r="J1683" s="559"/>
      <c r="K1683" s="560"/>
      <c r="L1683" s="560"/>
      <c r="M1683" s="560"/>
    </row>
    <row r="1684" spans="3:13" s="338" customFormat="1">
      <c r="C1684" s="558"/>
      <c r="D1684" s="559"/>
      <c r="E1684" s="559"/>
      <c r="F1684" s="559"/>
      <c r="G1684" s="558"/>
      <c r="H1684" s="559"/>
      <c r="I1684" s="559"/>
      <c r="J1684" s="559"/>
      <c r="K1684" s="560"/>
      <c r="L1684" s="560"/>
      <c r="M1684" s="560"/>
    </row>
    <row r="1685" spans="3:13" s="338" customFormat="1">
      <c r="C1685" s="558"/>
      <c r="D1685" s="559"/>
      <c r="E1685" s="559"/>
      <c r="F1685" s="559"/>
      <c r="G1685" s="558"/>
      <c r="H1685" s="559"/>
      <c r="I1685" s="559"/>
      <c r="J1685" s="559"/>
      <c r="K1685" s="560"/>
      <c r="L1685" s="560"/>
      <c r="M1685" s="560"/>
    </row>
    <row r="1686" spans="3:13" s="338" customFormat="1">
      <c r="C1686" s="558"/>
      <c r="D1686" s="559"/>
      <c r="E1686" s="559"/>
      <c r="F1686" s="559"/>
      <c r="G1686" s="558"/>
      <c r="H1686" s="559"/>
      <c r="I1686" s="559"/>
      <c r="J1686" s="559"/>
      <c r="K1686" s="560"/>
      <c r="L1686" s="560"/>
      <c r="M1686" s="560"/>
    </row>
    <row r="1687" spans="3:13" s="338" customFormat="1">
      <c r="C1687" s="558"/>
      <c r="D1687" s="559"/>
      <c r="E1687" s="559"/>
      <c r="F1687" s="559"/>
      <c r="G1687" s="558"/>
      <c r="H1687" s="559"/>
      <c r="I1687" s="559"/>
      <c r="J1687" s="559"/>
      <c r="K1687" s="560"/>
      <c r="L1687" s="560"/>
      <c r="M1687" s="560"/>
    </row>
    <row r="1688" spans="3:13" s="338" customFormat="1">
      <c r="C1688" s="558"/>
      <c r="D1688" s="559"/>
      <c r="E1688" s="559"/>
      <c r="F1688" s="559"/>
      <c r="G1688" s="558"/>
      <c r="H1688" s="559"/>
      <c r="I1688" s="559"/>
      <c r="J1688" s="559"/>
      <c r="K1688" s="560"/>
      <c r="L1688" s="560"/>
      <c r="M1688" s="560"/>
    </row>
    <row r="1689" spans="3:13" s="338" customFormat="1">
      <c r="C1689" s="558"/>
      <c r="D1689" s="559"/>
      <c r="E1689" s="559"/>
      <c r="F1689" s="559"/>
      <c r="G1689" s="558"/>
      <c r="H1689" s="559"/>
      <c r="I1689" s="559"/>
      <c r="J1689" s="559"/>
      <c r="K1689" s="560"/>
      <c r="L1689" s="560"/>
      <c r="M1689" s="560"/>
    </row>
    <row r="1690" spans="3:13" s="338" customFormat="1">
      <c r="C1690" s="558"/>
      <c r="D1690" s="559"/>
      <c r="E1690" s="559"/>
      <c r="F1690" s="559"/>
      <c r="G1690" s="558"/>
      <c r="H1690" s="559"/>
      <c r="I1690" s="559"/>
      <c r="J1690" s="559"/>
      <c r="K1690" s="560"/>
      <c r="L1690" s="560"/>
      <c r="M1690" s="560"/>
    </row>
    <row r="1691" spans="3:13" s="338" customFormat="1">
      <c r="C1691" s="558"/>
      <c r="D1691" s="559"/>
      <c r="E1691" s="559"/>
      <c r="F1691" s="559"/>
      <c r="G1691" s="558"/>
      <c r="H1691" s="559"/>
      <c r="I1691" s="559"/>
      <c r="J1691" s="559"/>
      <c r="K1691" s="560"/>
      <c r="L1691" s="560"/>
      <c r="M1691" s="560"/>
    </row>
    <row r="1692" spans="3:13" s="338" customFormat="1">
      <c r="C1692" s="558"/>
      <c r="D1692" s="559"/>
      <c r="E1692" s="559"/>
      <c r="F1692" s="559"/>
      <c r="G1692" s="558"/>
      <c r="H1692" s="559"/>
      <c r="I1692" s="559"/>
      <c r="J1692" s="559"/>
      <c r="K1692" s="560"/>
      <c r="L1692" s="560"/>
      <c r="M1692" s="560"/>
    </row>
    <row r="1693" spans="3:13" s="338" customFormat="1">
      <c r="C1693" s="558"/>
      <c r="D1693" s="559"/>
      <c r="E1693" s="559"/>
      <c r="F1693" s="559"/>
      <c r="G1693" s="558"/>
      <c r="H1693" s="559"/>
      <c r="I1693" s="559"/>
      <c r="J1693" s="559"/>
      <c r="K1693" s="560"/>
      <c r="L1693" s="560"/>
      <c r="M1693" s="560"/>
    </row>
    <row r="1694" spans="3:13" s="338" customFormat="1">
      <c r="C1694" s="558"/>
      <c r="D1694" s="559"/>
      <c r="E1694" s="559"/>
      <c r="F1694" s="559"/>
      <c r="G1694" s="558"/>
      <c r="H1694" s="559"/>
      <c r="I1694" s="559"/>
      <c r="J1694" s="559"/>
      <c r="K1694" s="560"/>
      <c r="L1694" s="560"/>
      <c r="M1694" s="560"/>
    </row>
    <row r="1695" spans="3:13" s="338" customFormat="1">
      <c r="C1695" s="558"/>
      <c r="D1695" s="559"/>
      <c r="E1695" s="559"/>
      <c r="F1695" s="559"/>
      <c r="G1695" s="558"/>
      <c r="H1695" s="559"/>
      <c r="I1695" s="559"/>
      <c r="J1695" s="559"/>
      <c r="K1695" s="560"/>
      <c r="L1695" s="560"/>
      <c r="M1695" s="560"/>
    </row>
    <row r="1696" spans="3:13" s="338" customFormat="1">
      <c r="C1696" s="558"/>
      <c r="D1696" s="559"/>
      <c r="E1696" s="559"/>
      <c r="F1696" s="559"/>
      <c r="G1696" s="558"/>
      <c r="H1696" s="559"/>
      <c r="I1696" s="559"/>
      <c r="J1696" s="559"/>
      <c r="K1696" s="560"/>
      <c r="L1696" s="560"/>
      <c r="M1696" s="560"/>
    </row>
    <row r="1697" spans="3:13" s="338" customFormat="1">
      <c r="C1697" s="558"/>
      <c r="D1697" s="559"/>
      <c r="E1697" s="559"/>
      <c r="F1697" s="559"/>
      <c r="G1697" s="558"/>
      <c r="H1697" s="559"/>
      <c r="I1697" s="559"/>
      <c r="J1697" s="559"/>
      <c r="K1697" s="560"/>
      <c r="L1697" s="560"/>
      <c r="M1697" s="560"/>
    </row>
    <row r="1698" spans="3:13" s="338" customFormat="1">
      <c r="C1698" s="558"/>
      <c r="D1698" s="559"/>
      <c r="E1698" s="559"/>
      <c r="F1698" s="559"/>
      <c r="G1698" s="558"/>
      <c r="H1698" s="559"/>
      <c r="I1698" s="559"/>
      <c r="J1698" s="559"/>
      <c r="K1698" s="560"/>
      <c r="L1698" s="560"/>
      <c r="M1698" s="560"/>
    </row>
    <row r="1699" spans="3:13" s="338" customFormat="1">
      <c r="C1699" s="558"/>
      <c r="D1699" s="559"/>
      <c r="E1699" s="559"/>
      <c r="F1699" s="559"/>
      <c r="G1699" s="558"/>
      <c r="H1699" s="559"/>
      <c r="I1699" s="559"/>
      <c r="J1699" s="559"/>
      <c r="K1699" s="560"/>
      <c r="L1699" s="560"/>
      <c r="M1699" s="560"/>
    </row>
    <row r="1700" spans="3:13" s="338" customFormat="1">
      <c r="C1700" s="558"/>
      <c r="D1700" s="559"/>
      <c r="E1700" s="559"/>
      <c r="F1700" s="559"/>
      <c r="G1700" s="558"/>
      <c r="H1700" s="559"/>
      <c r="I1700" s="559"/>
      <c r="J1700" s="559"/>
      <c r="K1700" s="560"/>
      <c r="L1700" s="560"/>
      <c r="M1700" s="560"/>
    </row>
    <row r="1701" spans="3:13" s="338" customFormat="1">
      <c r="C1701" s="558"/>
      <c r="D1701" s="559"/>
      <c r="E1701" s="559"/>
      <c r="F1701" s="559"/>
      <c r="G1701" s="558"/>
      <c r="H1701" s="559"/>
      <c r="I1701" s="559"/>
      <c r="J1701" s="559"/>
      <c r="K1701" s="560"/>
      <c r="L1701" s="560"/>
      <c r="M1701" s="560"/>
    </row>
    <row r="1702" spans="3:13" s="338" customFormat="1">
      <c r="C1702" s="558"/>
      <c r="D1702" s="559"/>
      <c r="E1702" s="559"/>
      <c r="F1702" s="559"/>
      <c r="G1702" s="558"/>
      <c r="H1702" s="559"/>
      <c r="I1702" s="559"/>
      <c r="J1702" s="559"/>
      <c r="K1702" s="560"/>
      <c r="L1702" s="560"/>
      <c r="M1702" s="560"/>
    </row>
    <row r="1703" spans="3:13" s="338" customFormat="1">
      <c r="C1703" s="558"/>
      <c r="D1703" s="559"/>
      <c r="E1703" s="559"/>
      <c r="F1703" s="559"/>
      <c r="G1703" s="558"/>
      <c r="H1703" s="559"/>
      <c r="I1703" s="559"/>
      <c r="J1703" s="559"/>
      <c r="K1703" s="560"/>
      <c r="L1703" s="560"/>
      <c r="M1703" s="560"/>
    </row>
    <row r="1704" spans="3:13" s="338" customFormat="1">
      <c r="C1704" s="558"/>
      <c r="D1704" s="559"/>
      <c r="E1704" s="559"/>
      <c r="F1704" s="559"/>
      <c r="G1704" s="558"/>
      <c r="H1704" s="559"/>
      <c r="I1704" s="559"/>
      <c r="J1704" s="559"/>
      <c r="K1704" s="560"/>
      <c r="L1704" s="560"/>
      <c r="M1704" s="560"/>
    </row>
    <row r="1705" spans="3:13" s="338" customFormat="1">
      <c r="C1705" s="558"/>
      <c r="D1705" s="559"/>
      <c r="E1705" s="559"/>
      <c r="F1705" s="559"/>
      <c r="G1705" s="558"/>
      <c r="H1705" s="559"/>
      <c r="I1705" s="559"/>
      <c r="J1705" s="559"/>
      <c r="K1705" s="560"/>
      <c r="L1705" s="560"/>
      <c r="M1705" s="560"/>
    </row>
    <row r="1706" spans="3:13" s="338" customFormat="1">
      <c r="C1706" s="558"/>
      <c r="D1706" s="559"/>
      <c r="E1706" s="559"/>
      <c r="F1706" s="559"/>
      <c r="G1706" s="558"/>
      <c r="H1706" s="559"/>
      <c r="I1706" s="559"/>
      <c r="J1706" s="559"/>
      <c r="K1706" s="560"/>
      <c r="L1706" s="560"/>
      <c r="M1706" s="560"/>
    </row>
    <row r="1707" spans="3:13" s="338" customFormat="1">
      <c r="C1707" s="558"/>
      <c r="D1707" s="559"/>
      <c r="E1707" s="559"/>
      <c r="F1707" s="559"/>
      <c r="G1707" s="558"/>
      <c r="H1707" s="559"/>
      <c r="I1707" s="559"/>
      <c r="J1707" s="559"/>
      <c r="K1707" s="560"/>
      <c r="L1707" s="560"/>
      <c r="M1707" s="560"/>
    </row>
    <row r="1708" spans="3:13" s="338" customFormat="1">
      <c r="C1708" s="558"/>
      <c r="D1708" s="559"/>
      <c r="E1708" s="559"/>
      <c r="F1708" s="559"/>
      <c r="G1708" s="558"/>
      <c r="H1708" s="559"/>
      <c r="I1708" s="559"/>
      <c r="J1708" s="559"/>
      <c r="K1708" s="560"/>
      <c r="L1708" s="560"/>
      <c r="M1708" s="560"/>
    </row>
    <row r="1709" spans="3:13" s="338" customFormat="1">
      <c r="C1709" s="558"/>
      <c r="D1709" s="559"/>
      <c r="E1709" s="559"/>
      <c r="F1709" s="559"/>
      <c r="G1709" s="558"/>
      <c r="H1709" s="559"/>
      <c r="I1709" s="559"/>
      <c r="J1709" s="559"/>
      <c r="K1709" s="560"/>
      <c r="L1709" s="560"/>
      <c r="M1709" s="560"/>
    </row>
    <row r="1710" spans="3:13" s="338" customFormat="1">
      <c r="C1710" s="558"/>
      <c r="D1710" s="559"/>
      <c r="E1710" s="559"/>
      <c r="F1710" s="559"/>
      <c r="G1710" s="558"/>
      <c r="H1710" s="559"/>
      <c r="I1710" s="559"/>
      <c r="J1710" s="559"/>
      <c r="K1710" s="560"/>
      <c r="L1710" s="560"/>
      <c r="M1710" s="560"/>
    </row>
    <row r="1711" spans="3:13" s="338" customFormat="1">
      <c r="C1711" s="558"/>
      <c r="D1711" s="559"/>
      <c r="E1711" s="559"/>
      <c r="F1711" s="559"/>
      <c r="G1711" s="558"/>
      <c r="H1711" s="559"/>
      <c r="I1711" s="559"/>
      <c r="J1711" s="559"/>
      <c r="K1711" s="560"/>
      <c r="L1711" s="560"/>
      <c r="M1711" s="560"/>
    </row>
    <row r="1712" spans="3:13" s="338" customFormat="1">
      <c r="C1712" s="558"/>
      <c r="D1712" s="559"/>
      <c r="E1712" s="559"/>
      <c r="F1712" s="559"/>
      <c r="G1712" s="558"/>
      <c r="H1712" s="559"/>
      <c r="I1712" s="559"/>
      <c r="J1712" s="559"/>
      <c r="K1712" s="560"/>
      <c r="L1712" s="560"/>
      <c r="M1712" s="560"/>
    </row>
    <row r="1713" spans="3:13" s="338" customFormat="1">
      <c r="C1713" s="558"/>
      <c r="D1713" s="559"/>
      <c r="E1713" s="559"/>
      <c r="F1713" s="559"/>
      <c r="G1713" s="558"/>
      <c r="H1713" s="559"/>
      <c r="I1713" s="559"/>
      <c r="J1713" s="559"/>
      <c r="K1713" s="560"/>
      <c r="L1713" s="560"/>
      <c r="M1713" s="560"/>
    </row>
    <row r="1714" spans="3:13" s="338" customFormat="1">
      <c r="C1714" s="558"/>
      <c r="D1714" s="559"/>
      <c r="E1714" s="559"/>
      <c r="F1714" s="559"/>
      <c r="G1714" s="558"/>
      <c r="H1714" s="559"/>
      <c r="I1714" s="559"/>
      <c r="J1714" s="559"/>
      <c r="K1714" s="560"/>
      <c r="L1714" s="560"/>
      <c r="M1714" s="560"/>
    </row>
    <row r="1715" spans="3:13" s="338" customFormat="1">
      <c r="C1715" s="558"/>
      <c r="D1715" s="559"/>
      <c r="E1715" s="559"/>
      <c r="F1715" s="559"/>
      <c r="G1715" s="558"/>
      <c r="H1715" s="559"/>
      <c r="I1715" s="559"/>
      <c r="J1715" s="559"/>
      <c r="K1715" s="560"/>
      <c r="L1715" s="560"/>
      <c r="M1715" s="560"/>
    </row>
    <row r="1716" spans="3:13" s="338" customFormat="1">
      <c r="C1716" s="558"/>
      <c r="D1716" s="559"/>
      <c r="E1716" s="559"/>
      <c r="F1716" s="559"/>
      <c r="G1716" s="558"/>
      <c r="H1716" s="559"/>
      <c r="I1716" s="559"/>
      <c r="J1716" s="559"/>
      <c r="K1716" s="560"/>
      <c r="L1716" s="560"/>
      <c r="M1716" s="560"/>
    </row>
    <row r="1717" spans="3:13" s="338" customFormat="1">
      <c r="C1717" s="558"/>
      <c r="D1717" s="559"/>
      <c r="E1717" s="559"/>
      <c r="F1717" s="559"/>
      <c r="G1717" s="558"/>
      <c r="H1717" s="559"/>
      <c r="I1717" s="559"/>
      <c r="J1717" s="559"/>
      <c r="K1717" s="560"/>
      <c r="L1717" s="560"/>
      <c r="M1717" s="560"/>
    </row>
    <row r="1718" spans="3:13" s="338" customFormat="1">
      <c r="C1718" s="558"/>
      <c r="D1718" s="559"/>
      <c r="E1718" s="559"/>
      <c r="F1718" s="559"/>
      <c r="G1718" s="558"/>
      <c r="H1718" s="559"/>
      <c r="I1718" s="559"/>
      <c r="J1718" s="559"/>
      <c r="K1718" s="560"/>
      <c r="L1718" s="560"/>
      <c r="M1718" s="560"/>
    </row>
    <row r="1719" spans="3:13" s="338" customFormat="1">
      <c r="C1719" s="558"/>
      <c r="D1719" s="559"/>
      <c r="E1719" s="559"/>
      <c r="F1719" s="559"/>
      <c r="G1719" s="558"/>
      <c r="H1719" s="559"/>
      <c r="I1719" s="559"/>
      <c r="J1719" s="559"/>
      <c r="K1719" s="560"/>
      <c r="L1719" s="560"/>
      <c r="M1719" s="560"/>
    </row>
    <row r="1720" spans="3:13" s="338" customFormat="1">
      <c r="C1720" s="558"/>
      <c r="D1720" s="559"/>
      <c r="E1720" s="559"/>
      <c r="F1720" s="559"/>
      <c r="G1720" s="558"/>
      <c r="H1720" s="559"/>
      <c r="I1720" s="559"/>
      <c r="J1720" s="559"/>
      <c r="K1720" s="560"/>
      <c r="L1720" s="560"/>
      <c r="M1720" s="560"/>
    </row>
    <row r="1721" spans="3:13" s="338" customFormat="1">
      <c r="C1721" s="558"/>
      <c r="D1721" s="559"/>
      <c r="E1721" s="559"/>
      <c r="F1721" s="559"/>
      <c r="G1721" s="558"/>
      <c r="H1721" s="559"/>
      <c r="I1721" s="559"/>
      <c r="J1721" s="559"/>
      <c r="K1721" s="560"/>
      <c r="L1721" s="560"/>
      <c r="M1721" s="560"/>
    </row>
    <row r="1722" spans="3:13" s="338" customFormat="1">
      <c r="C1722" s="558"/>
      <c r="D1722" s="559"/>
      <c r="E1722" s="559"/>
      <c r="F1722" s="559"/>
      <c r="G1722" s="558"/>
      <c r="H1722" s="559"/>
      <c r="I1722" s="559"/>
      <c r="J1722" s="559"/>
      <c r="K1722" s="560"/>
      <c r="L1722" s="560"/>
      <c r="M1722" s="560"/>
    </row>
    <row r="1723" spans="3:13" s="338" customFormat="1">
      <c r="C1723" s="558"/>
      <c r="D1723" s="559"/>
      <c r="E1723" s="559"/>
      <c r="F1723" s="559"/>
      <c r="G1723" s="558"/>
      <c r="H1723" s="559"/>
      <c r="I1723" s="559"/>
      <c r="J1723" s="559"/>
      <c r="K1723" s="560"/>
      <c r="L1723" s="560"/>
      <c r="M1723" s="560"/>
    </row>
    <row r="1724" spans="3:13" s="338" customFormat="1">
      <c r="C1724" s="558"/>
      <c r="D1724" s="559"/>
      <c r="E1724" s="559"/>
      <c r="F1724" s="559"/>
      <c r="G1724" s="558"/>
      <c r="H1724" s="559"/>
      <c r="I1724" s="559"/>
      <c r="J1724" s="559"/>
      <c r="K1724" s="560"/>
      <c r="L1724" s="560"/>
      <c r="M1724" s="560"/>
    </row>
    <row r="1725" spans="3:13" s="338" customFormat="1">
      <c r="C1725" s="558"/>
      <c r="D1725" s="559"/>
      <c r="E1725" s="559"/>
      <c r="F1725" s="559"/>
      <c r="G1725" s="558"/>
      <c r="H1725" s="559"/>
      <c r="I1725" s="559"/>
      <c r="J1725" s="559"/>
      <c r="K1725" s="560"/>
      <c r="L1725" s="560"/>
      <c r="M1725" s="560"/>
    </row>
    <row r="1726" spans="3:13" s="338" customFormat="1">
      <c r="C1726" s="558"/>
      <c r="D1726" s="559"/>
      <c r="E1726" s="559"/>
      <c r="F1726" s="559"/>
      <c r="G1726" s="558"/>
      <c r="H1726" s="559"/>
      <c r="I1726" s="559"/>
      <c r="J1726" s="559"/>
      <c r="K1726" s="560"/>
      <c r="L1726" s="560"/>
      <c r="M1726" s="560"/>
    </row>
    <row r="1727" spans="3:13" s="338" customFormat="1">
      <c r="C1727" s="558"/>
      <c r="D1727" s="559"/>
      <c r="E1727" s="559"/>
      <c r="F1727" s="559"/>
      <c r="G1727" s="558"/>
      <c r="H1727" s="559"/>
      <c r="I1727" s="559"/>
      <c r="J1727" s="559"/>
      <c r="K1727" s="560"/>
      <c r="L1727" s="560"/>
      <c r="M1727" s="560"/>
    </row>
    <row r="1728" spans="3:13" s="338" customFormat="1">
      <c r="C1728" s="558"/>
      <c r="D1728" s="559"/>
      <c r="E1728" s="559"/>
      <c r="F1728" s="559"/>
      <c r="G1728" s="558"/>
      <c r="H1728" s="559"/>
      <c r="I1728" s="559"/>
      <c r="J1728" s="559"/>
      <c r="K1728" s="560"/>
      <c r="L1728" s="560"/>
      <c r="M1728" s="560"/>
    </row>
    <row r="1729" spans="3:13" s="338" customFormat="1">
      <c r="C1729" s="558"/>
      <c r="D1729" s="559"/>
      <c r="E1729" s="559"/>
      <c r="F1729" s="559"/>
      <c r="G1729" s="558"/>
      <c r="H1729" s="559"/>
      <c r="I1729" s="559"/>
      <c r="J1729" s="559"/>
      <c r="K1729" s="560"/>
      <c r="L1729" s="560"/>
      <c r="M1729" s="560"/>
    </row>
    <row r="1730" spans="3:13" s="338" customFormat="1">
      <c r="C1730" s="558"/>
      <c r="D1730" s="559"/>
      <c r="E1730" s="559"/>
      <c r="F1730" s="559"/>
      <c r="G1730" s="558"/>
      <c r="H1730" s="559"/>
      <c r="I1730" s="559"/>
      <c r="J1730" s="559"/>
      <c r="K1730" s="560"/>
      <c r="L1730" s="560"/>
      <c r="M1730" s="560"/>
    </row>
    <row r="1731" spans="3:13" s="338" customFormat="1">
      <c r="C1731" s="558"/>
      <c r="D1731" s="559"/>
      <c r="E1731" s="559"/>
      <c r="F1731" s="559"/>
      <c r="G1731" s="558"/>
      <c r="H1731" s="559"/>
      <c r="I1731" s="559"/>
      <c r="J1731" s="559"/>
      <c r="K1731" s="560"/>
      <c r="L1731" s="560"/>
      <c r="M1731" s="560"/>
    </row>
    <row r="1732" spans="3:13" s="338" customFormat="1">
      <c r="C1732" s="558"/>
      <c r="D1732" s="559"/>
      <c r="E1732" s="559"/>
      <c r="F1732" s="559"/>
      <c r="G1732" s="558"/>
      <c r="H1732" s="559"/>
      <c r="I1732" s="559"/>
      <c r="J1732" s="559"/>
      <c r="K1732" s="560"/>
      <c r="L1732" s="560"/>
      <c r="M1732" s="560"/>
    </row>
    <row r="1733" spans="3:13" s="338" customFormat="1">
      <c r="C1733" s="558"/>
      <c r="D1733" s="559"/>
      <c r="E1733" s="559"/>
      <c r="F1733" s="559"/>
      <c r="G1733" s="558"/>
      <c r="H1733" s="559"/>
      <c r="I1733" s="559"/>
      <c r="J1733" s="559"/>
      <c r="K1733" s="560"/>
      <c r="L1733" s="560"/>
      <c r="M1733" s="560"/>
    </row>
    <row r="1734" spans="3:13" s="338" customFormat="1">
      <c r="C1734" s="558"/>
      <c r="D1734" s="559"/>
      <c r="E1734" s="559"/>
      <c r="F1734" s="559"/>
      <c r="G1734" s="558"/>
      <c r="H1734" s="559"/>
      <c r="I1734" s="559"/>
      <c r="J1734" s="559"/>
      <c r="K1734" s="560"/>
      <c r="L1734" s="560"/>
      <c r="M1734" s="560"/>
    </row>
    <row r="1735" spans="3:13" s="338" customFormat="1">
      <c r="C1735" s="558"/>
      <c r="D1735" s="559"/>
      <c r="E1735" s="559"/>
      <c r="F1735" s="559"/>
      <c r="G1735" s="558"/>
      <c r="H1735" s="559"/>
      <c r="I1735" s="559"/>
      <c r="J1735" s="559"/>
      <c r="K1735" s="560"/>
      <c r="L1735" s="560"/>
      <c r="M1735" s="560"/>
    </row>
    <row r="1736" spans="3:13" s="338" customFormat="1">
      <c r="C1736" s="558"/>
      <c r="D1736" s="559"/>
      <c r="E1736" s="559"/>
      <c r="F1736" s="559"/>
      <c r="G1736" s="558"/>
      <c r="H1736" s="559"/>
      <c r="I1736" s="559"/>
      <c r="J1736" s="559"/>
      <c r="K1736" s="560"/>
      <c r="L1736" s="560"/>
      <c r="M1736" s="560"/>
    </row>
    <row r="1737" spans="3:13" s="338" customFormat="1">
      <c r="C1737" s="558"/>
      <c r="D1737" s="559"/>
      <c r="E1737" s="559"/>
      <c r="F1737" s="559"/>
      <c r="G1737" s="558"/>
      <c r="H1737" s="559"/>
      <c r="I1737" s="559"/>
      <c r="J1737" s="559"/>
      <c r="K1737" s="560"/>
      <c r="L1737" s="560"/>
      <c r="M1737" s="560"/>
    </row>
    <row r="1738" spans="3:13" s="338" customFormat="1">
      <c r="C1738" s="558"/>
      <c r="D1738" s="559"/>
      <c r="E1738" s="559"/>
      <c r="F1738" s="559"/>
      <c r="G1738" s="558"/>
      <c r="H1738" s="559"/>
      <c r="I1738" s="559"/>
      <c r="J1738" s="559"/>
      <c r="K1738" s="560"/>
      <c r="L1738" s="560"/>
      <c r="M1738" s="560"/>
    </row>
    <row r="1739" spans="3:13" s="338" customFormat="1">
      <c r="C1739" s="558"/>
      <c r="D1739" s="559"/>
      <c r="E1739" s="559"/>
      <c r="F1739" s="559"/>
      <c r="G1739" s="558"/>
      <c r="H1739" s="559"/>
      <c r="I1739" s="559"/>
      <c r="J1739" s="559"/>
      <c r="K1739" s="560"/>
      <c r="L1739" s="560"/>
      <c r="M1739" s="560"/>
    </row>
    <row r="1740" spans="3:13" s="338" customFormat="1">
      <c r="C1740" s="558"/>
      <c r="D1740" s="559"/>
      <c r="E1740" s="559"/>
      <c r="F1740" s="559"/>
      <c r="G1740" s="558"/>
      <c r="H1740" s="559"/>
      <c r="I1740" s="559"/>
      <c r="J1740" s="559"/>
      <c r="K1740" s="560"/>
      <c r="L1740" s="560"/>
      <c r="M1740" s="560"/>
    </row>
    <row r="1741" spans="3:13" s="338" customFormat="1">
      <c r="C1741" s="558"/>
      <c r="D1741" s="559"/>
      <c r="E1741" s="559"/>
      <c r="F1741" s="559"/>
      <c r="G1741" s="558"/>
      <c r="H1741" s="559"/>
      <c r="I1741" s="559"/>
      <c r="J1741" s="559"/>
      <c r="K1741" s="560"/>
      <c r="L1741" s="560"/>
      <c r="M1741" s="560"/>
    </row>
    <row r="1742" spans="3:13" s="338" customFormat="1">
      <c r="C1742" s="558"/>
      <c r="D1742" s="559"/>
      <c r="E1742" s="559"/>
      <c r="F1742" s="559"/>
      <c r="G1742" s="558"/>
      <c r="H1742" s="559"/>
      <c r="I1742" s="559"/>
      <c r="J1742" s="559"/>
      <c r="K1742" s="560"/>
      <c r="L1742" s="560"/>
      <c r="M1742" s="560"/>
    </row>
    <row r="1743" spans="3:13" s="338" customFormat="1">
      <c r="C1743" s="558"/>
      <c r="D1743" s="559"/>
      <c r="E1743" s="559"/>
      <c r="F1743" s="559"/>
      <c r="G1743" s="558"/>
      <c r="H1743" s="559"/>
      <c r="I1743" s="559"/>
      <c r="J1743" s="559"/>
      <c r="K1743" s="560"/>
      <c r="L1743" s="560"/>
      <c r="M1743" s="560"/>
    </row>
    <row r="1744" spans="3:13" s="338" customFormat="1">
      <c r="C1744" s="558"/>
      <c r="D1744" s="559"/>
      <c r="E1744" s="559"/>
      <c r="F1744" s="559"/>
      <c r="G1744" s="558"/>
      <c r="H1744" s="559"/>
      <c r="I1744" s="559"/>
      <c r="J1744" s="559"/>
      <c r="K1744" s="560"/>
      <c r="L1744" s="560"/>
      <c r="M1744" s="560"/>
    </row>
    <row r="1745" spans="3:13" s="338" customFormat="1">
      <c r="C1745" s="558"/>
      <c r="D1745" s="559"/>
      <c r="E1745" s="559"/>
      <c r="F1745" s="559"/>
      <c r="G1745" s="558"/>
      <c r="H1745" s="559"/>
      <c r="I1745" s="559"/>
      <c r="J1745" s="559"/>
      <c r="K1745" s="560"/>
      <c r="L1745" s="560"/>
      <c r="M1745" s="560"/>
    </row>
    <row r="1746" spans="3:13" s="338" customFormat="1">
      <c r="C1746" s="558"/>
      <c r="D1746" s="559"/>
      <c r="E1746" s="559"/>
      <c r="F1746" s="559"/>
      <c r="G1746" s="558"/>
      <c r="H1746" s="559"/>
      <c r="I1746" s="559"/>
      <c r="J1746" s="559"/>
      <c r="K1746" s="560"/>
      <c r="L1746" s="560"/>
      <c r="M1746" s="560"/>
    </row>
    <row r="1747" spans="3:13" s="338" customFormat="1">
      <c r="C1747" s="558"/>
      <c r="D1747" s="559"/>
      <c r="E1747" s="559"/>
      <c r="F1747" s="559"/>
      <c r="G1747" s="558"/>
      <c r="H1747" s="559"/>
      <c r="I1747" s="559"/>
      <c r="J1747" s="559"/>
      <c r="K1747" s="560"/>
      <c r="L1747" s="560"/>
      <c r="M1747" s="560"/>
    </row>
    <row r="1748" spans="3:13" s="338" customFormat="1">
      <c r="C1748" s="558"/>
      <c r="D1748" s="559"/>
      <c r="E1748" s="559"/>
      <c r="F1748" s="559"/>
      <c r="G1748" s="558"/>
      <c r="H1748" s="559"/>
      <c r="I1748" s="559"/>
      <c r="J1748" s="559"/>
      <c r="K1748" s="560"/>
      <c r="L1748" s="560"/>
      <c r="M1748" s="560"/>
    </row>
    <row r="1749" spans="3:13" s="338" customFormat="1">
      <c r="C1749" s="558"/>
      <c r="D1749" s="559"/>
      <c r="E1749" s="559"/>
      <c r="F1749" s="559"/>
      <c r="G1749" s="558"/>
      <c r="H1749" s="559"/>
      <c r="I1749" s="559"/>
      <c r="J1749" s="559"/>
      <c r="K1749" s="560"/>
      <c r="L1749" s="560"/>
      <c r="M1749" s="560"/>
    </row>
    <row r="1750" spans="3:13" s="338" customFormat="1">
      <c r="C1750" s="558"/>
      <c r="D1750" s="559"/>
      <c r="E1750" s="559"/>
      <c r="F1750" s="559"/>
      <c r="G1750" s="558"/>
      <c r="H1750" s="559"/>
      <c r="I1750" s="559"/>
      <c r="J1750" s="559"/>
      <c r="K1750" s="560"/>
      <c r="L1750" s="560"/>
      <c r="M1750" s="560"/>
    </row>
    <row r="1751" spans="3:13" s="338" customFormat="1">
      <c r="C1751" s="558"/>
      <c r="D1751" s="559"/>
      <c r="E1751" s="559"/>
      <c r="F1751" s="559"/>
      <c r="G1751" s="558"/>
      <c r="H1751" s="559"/>
      <c r="I1751" s="559"/>
      <c r="J1751" s="559"/>
      <c r="K1751" s="560"/>
      <c r="L1751" s="560"/>
      <c r="M1751" s="560"/>
    </row>
    <row r="1752" spans="3:13" s="338" customFormat="1">
      <c r="C1752" s="558"/>
      <c r="D1752" s="559"/>
      <c r="E1752" s="559"/>
      <c r="F1752" s="559"/>
      <c r="G1752" s="558"/>
      <c r="H1752" s="559"/>
      <c r="I1752" s="559"/>
      <c r="J1752" s="559"/>
      <c r="K1752" s="560"/>
      <c r="L1752" s="560"/>
      <c r="M1752" s="560"/>
    </row>
    <row r="1753" spans="3:13" s="338" customFormat="1">
      <c r="C1753" s="558"/>
      <c r="D1753" s="559"/>
      <c r="E1753" s="559"/>
      <c r="F1753" s="559"/>
      <c r="G1753" s="558"/>
      <c r="H1753" s="559"/>
      <c r="I1753" s="559"/>
      <c r="J1753" s="559"/>
      <c r="K1753" s="560"/>
      <c r="L1753" s="560"/>
      <c r="M1753" s="560"/>
    </row>
    <row r="1754" spans="3:13" s="338" customFormat="1">
      <c r="C1754" s="558"/>
      <c r="D1754" s="559"/>
      <c r="E1754" s="559"/>
      <c r="F1754" s="559"/>
      <c r="G1754" s="558"/>
      <c r="H1754" s="559"/>
      <c r="I1754" s="559"/>
      <c r="J1754" s="559"/>
      <c r="K1754" s="560"/>
      <c r="L1754" s="560"/>
      <c r="M1754" s="560"/>
    </row>
    <row r="1755" spans="3:13" s="338" customFormat="1">
      <c r="C1755" s="558"/>
      <c r="D1755" s="559"/>
      <c r="E1755" s="559"/>
      <c r="F1755" s="559"/>
      <c r="G1755" s="558"/>
      <c r="H1755" s="559"/>
      <c r="I1755" s="559"/>
      <c r="J1755" s="559"/>
      <c r="K1755" s="560"/>
      <c r="L1755" s="560"/>
      <c r="M1755" s="560"/>
    </row>
    <row r="1756" spans="3:13" s="338" customFormat="1">
      <c r="C1756" s="558"/>
      <c r="D1756" s="559"/>
      <c r="E1756" s="559"/>
      <c r="F1756" s="559"/>
      <c r="G1756" s="558"/>
      <c r="H1756" s="559"/>
      <c r="I1756" s="559"/>
      <c r="J1756" s="559"/>
      <c r="K1756" s="560"/>
      <c r="L1756" s="560"/>
      <c r="M1756" s="560"/>
    </row>
    <row r="1757" spans="3:13" s="338" customFormat="1">
      <c r="C1757" s="558"/>
      <c r="D1757" s="559"/>
      <c r="E1757" s="559"/>
      <c r="F1757" s="559"/>
      <c r="G1757" s="558"/>
      <c r="H1757" s="559"/>
      <c r="I1757" s="559"/>
      <c r="J1757" s="559"/>
      <c r="K1757" s="560"/>
      <c r="L1757" s="560"/>
      <c r="M1757" s="560"/>
    </row>
    <row r="1758" spans="3:13" s="338" customFormat="1">
      <c r="C1758" s="558"/>
      <c r="D1758" s="559"/>
      <c r="E1758" s="559"/>
      <c r="F1758" s="559"/>
      <c r="G1758" s="558"/>
      <c r="H1758" s="559"/>
      <c r="I1758" s="559"/>
      <c r="J1758" s="559"/>
      <c r="K1758" s="560"/>
      <c r="L1758" s="560"/>
      <c r="M1758" s="560"/>
    </row>
    <row r="1759" spans="3:13" s="338" customFormat="1">
      <c r="C1759" s="558"/>
      <c r="D1759" s="559"/>
      <c r="E1759" s="559"/>
      <c r="F1759" s="559"/>
      <c r="G1759" s="558"/>
      <c r="H1759" s="559"/>
      <c r="I1759" s="559"/>
      <c r="J1759" s="559"/>
      <c r="K1759" s="560"/>
      <c r="L1759" s="560"/>
      <c r="M1759" s="560"/>
    </row>
    <row r="1760" spans="3:13" s="338" customFormat="1">
      <c r="C1760" s="558"/>
      <c r="D1760" s="559"/>
      <c r="E1760" s="559"/>
      <c r="F1760" s="559"/>
      <c r="G1760" s="558"/>
      <c r="H1760" s="559"/>
      <c r="I1760" s="559"/>
      <c r="J1760" s="559"/>
      <c r="K1760" s="560"/>
      <c r="L1760" s="560"/>
      <c r="M1760" s="560"/>
    </row>
    <row r="1761" spans="3:13" s="338" customFormat="1">
      <c r="C1761" s="558"/>
      <c r="D1761" s="559"/>
      <c r="E1761" s="559"/>
      <c r="F1761" s="559"/>
      <c r="G1761" s="558"/>
      <c r="H1761" s="559"/>
      <c r="I1761" s="559"/>
      <c r="J1761" s="559"/>
      <c r="K1761" s="560"/>
      <c r="L1761" s="560"/>
      <c r="M1761" s="560"/>
    </row>
    <row r="1762" spans="3:13" s="338" customFormat="1">
      <c r="C1762" s="558"/>
      <c r="D1762" s="559"/>
      <c r="E1762" s="559"/>
      <c r="F1762" s="559"/>
      <c r="G1762" s="558"/>
      <c r="H1762" s="559"/>
      <c r="I1762" s="559"/>
      <c r="J1762" s="559"/>
      <c r="K1762" s="560"/>
      <c r="L1762" s="560"/>
      <c r="M1762" s="560"/>
    </row>
    <row r="1763" spans="3:13" s="338" customFormat="1">
      <c r="C1763" s="558"/>
      <c r="D1763" s="559"/>
      <c r="E1763" s="559"/>
      <c r="F1763" s="559"/>
      <c r="G1763" s="558"/>
      <c r="H1763" s="559"/>
      <c r="I1763" s="559"/>
      <c r="J1763" s="559"/>
      <c r="K1763" s="560"/>
      <c r="L1763" s="560"/>
      <c r="M1763" s="560"/>
    </row>
    <row r="1764" spans="3:13" s="338" customFormat="1">
      <c r="C1764" s="558"/>
      <c r="D1764" s="559"/>
      <c r="E1764" s="559"/>
      <c r="F1764" s="559"/>
      <c r="G1764" s="558"/>
      <c r="H1764" s="559"/>
      <c r="I1764" s="559"/>
      <c r="J1764" s="559"/>
      <c r="K1764" s="560"/>
      <c r="L1764" s="560"/>
      <c r="M1764" s="560"/>
    </row>
    <row r="1765" spans="3:13" s="338" customFormat="1">
      <c r="C1765" s="558"/>
      <c r="D1765" s="559"/>
      <c r="E1765" s="559"/>
      <c r="F1765" s="559"/>
      <c r="G1765" s="558"/>
      <c r="H1765" s="559"/>
      <c r="I1765" s="559"/>
      <c r="J1765" s="559"/>
      <c r="K1765" s="560"/>
      <c r="L1765" s="560"/>
      <c r="M1765" s="560"/>
    </row>
    <row r="1766" spans="3:13" s="338" customFormat="1">
      <c r="C1766" s="558"/>
      <c r="D1766" s="559"/>
      <c r="E1766" s="559"/>
      <c r="F1766" s="559"/>
      <c r="G1766" s="558"/>
      <c r="H1766" s="559"/>
      <c r="I1766" s="559"/>
      <c r="J1766" s="559"/>
      <c r="K1766" s="560"/>
      <c r="L1766" s="560"/>
      <c r="M1766" s="560"/>
    </row>
    <row r="1767" spans="3:13" s="338" customFormat="1">
      <c r="C1767" s="558"/>
      <c r="D1767" s="559"/>
      <c r="E1767" s="559"/>
      <c r="F1767" s="559"/>
      <c r="G1767" s="558"/>
      <c r="H1767" s="559"/>
      <c r="I1767" s="559"/>
      <c r="J1767" s="559"/>
      <c r="K1767" s="560"/>
      <c r="L1767" s="560"/>
      <c r="M1767" s="560"/>
    </row>
    <row r="1768" spans="3:13" s="338" customFormat="1">
      <c r="C1768" s="558"/>
      <c r="D1768" s="559"/>
      <c r="E1768" s="559"/>
      <c r="F1768" s="559"/>
      <c r="G1768" s="558"/>
      <c r="H1768" s="559"/>
      <c r="I1768" s="559"/>
      <c r="J1768" s="559"/>
      <c r="K1768" s="560"/>
      <c r="L1768" s="560"/>
      <c r="M1768" s="560"/>
    </row>
    <row r="1769" spans="3:13" s="338" customFormat="1">
      <c r="C1769" s="558"/>
      <c r="D1769" s="559"/>
      <c r="E1769" s="559"/>
      <c r="F1769" s="559"/>
      <c r="G1769" s="558"/>
      <c r="H1769" s="559"/>
      <c r="I1769" s="559"/>
      <c r="J1769" s="559"/>
      <c r="K1769" s="560"/>
      <c r="L1769" s="560"/>
      <c r="M1769" s="560"/>
    </row>
    <row r="1770" spans="3:13" s="338" customFormat="1">
      <c r="C1770" s="558"/>
      <c r="D1770" s="559"/>
      <c r="E1770" s="559"/>
      <c r="F1770" s="559"/>
      <c r="G1770" s="558"/>
      <c r="H1770" s="559"/>
      <c r="I1770" s="559"/>
      <c r="J1770" s="559"/>
      <c r="K1770" s="560"/>
      <c r="L1770" s="560"/>
      <c r="M1770" s="560"/>
    </row>
    <row r="1771" spans="3:13" s="338" customFormat="1">
      <c r="C1771" s="558"/>
      <c r="D1771" s="559"/>
      <c r="E1771" s="559"/>
      <c r="F1771" s="559"/>
      <c r="G1771" s="558"/>
      <c r="H1771" s="559"/>
      <c r="I1771" s="559"/>
      <c r="J1771" s="559"/>
      <c r="K1771" s="560"/>
      <c r="L1771" s="560"/>
      <c r="M1771" s="560"/>
    </row>
    <row r="1772" spans="3:13" s="338" customFormat="1">
      <c r="C1772" s="558"/>
      <c r="D1772" s="559"/>
      <c r="E1772" s="559"/>
      <c r="F1772" s="559"/>
      <c r="G1772" s="558"/>
      <c r="H1772" s="559"/>
      <c r="I1772" s="559"/>
      <c r="J1772" s="559"/>
      <c r="K1772" s="560"/>
      <c r="L1772" s="560"/>
      <c r="M1772" s="560"/>
    </row>
    <row r="1773" spans="3:13" s="338" customFormat="1">
      <c r="C1773" s="558"/>
      <c r="D1773" s="559"/>
      <c r="E1773" s="559"/>
      <c r="F1773" s="559"/>
      <c r="G1773" s="558"/>
      <c r="H1773" s="559"/>
      <c r="I1773" s="559"/>
      <c r="J1773" s="559"/>
      <c r="K1773" s="560"/>
      <c r="L1773" s="560"/>
      <c r="M1773" s="560"/>
    </row>
    <row r="1774" spans="3:13" s="338" customFormat="1">
      <c r="C1774" s="558"/>
      <c r="D1774" s="559"/>
      <c r="E1774" s="559"/>
      <c r="F1774" s="559"/>
      <c r="G1774" s="558"/>
      <c r="H1774" s="559"/>
      <c r="I1774" s="559"/>
      <c r="J1774" s="559"/>
      <c r="K1774" s="560"/>
      <c r="L1774" s="560"/>
      <c r="M1774" s="560"/>
    </row>
    <row r="1775" spans="3:13" s="338" customFormat="1">
      <c r="C1775" s="558"/>
      <c r="D1775" s="559"/>
      <c r="E1775" s="559"/>
      <c r="F1775" s="559"/>
      <c r="G1775" s="558"/>
      <c r="H1775" s="559"/>
      <c r="I1775" s="559"/>
      <c r="J1775" s="559"/>
      <c r="K1775" s="560"/>
      <c r="L1775" s="560"/>
      <c r="M1775" s="560"/>
    </row>
    <row r="1776" spans="3:13" s="338" customFormat="1">
      <c r="C1776" s="558"/>
      <c r="D1776" s="559"/>
      <c r="E1776" s="559"/>
      <c r="F1776" s="559"/>
      <c r="G1776" s="558"/>
      <c r="H1776" s="559"/>
      <c r="I1776" s="559"/>
      <c r="J1776" s="559"/>
      <c r="K1776" s="560"/>
      <c r="L1776" s="560"/>
      <c r="M1776" s="560"/>
    </row>
    <row r="1777" spans="3:13" s="338" customFormat="1">
      <c r="C1777" s="558"/>
      <c r="D1777" s="559"/>
      <c r="E1777" s="559"/>
      <c r="F1777" s="559"/>
      <c r="G1777" s="558"/>
      <c r="H1777" s="559"/>
      <c r="I1777" s="559"/>
      <c r="J1777" s="559"/>
      <c r="K1777" s="560"/>
      <c r="L1777" s="560"/>
      <c r="M1777" s="560"/>
    </row>
    <row r="1778" spans="3:13" s="338" customFormat="1">
      <c r="C1778" s="558"/>
      <c r="D1778" s="559"/>
      <c r="E1778" s="559"/>
      <c r="F1778" s="559"/>
      <c r="G1778" s="558"/>
      <c r="H1778" s="559"/>
      <c r="I1778" s="559"/>
      <c r="J1778" s="559"/>
      <c r="K1778" s="560"/>
      <c r="L1778" s="560"/>
      <c r="M1778" s="560"/>
    </row>
    <row r="1779" spans="3:13" s="338" customFormat="1">
      <c r="C1779" s="558"/>
      <c r="D1779" s="559"/>
      <c r="E1779" s="559"/>
      <c r="F1779" s="559"/>
      <c r="G1779" s="558"/>
      <c r="H1779" s="559"/>
      <c r="I1779" s="559"/>
      <c r="J1779" s="559"/>
      <c r="K1779" s="560"/>
      <c r="L1779" s="560"/>
      <c r="M1779" s="560"/>
    </row>
    <row r="1780" spans="3:13" s="338" customFormat="1">
      <c r="C1780" s="558"/>
      <c r="D1780" s="559"/>
      <c r="E1780" s="559"/>
      <c r="F1780" s="559"/>
      <c r="G1780" s="558"/>
      <c r="H1780" s="559"/>
      <c r="I1780" s="559"/>
      <c r="J1780" s="559"/>
      <c r="K1780" s="560"/>
      <c r="L1780" s="560"/>
      <c r="M1780" s="560"/>
    </row>
    <row r="1781" spans="3:13" s="338" customFormat="1">
      <c r="C1781" s="558"/>
      <c r="D1781" s="559"/>
      <c r="E1781" s="559"/>
      <c r="F1781" s="559"/>
      <c r="G1781" s="558"/>
      <c r="H1781" s="559"/>
      <c r="I1781" s="559"/>
      <c r="J1781" s="559"/>
      <c r="K1781" s="560"/>
      <c r="L1781" s="560"/>
      <c r="M1781" s="560"/>
    </row>
    <row r="1782" spans="3:13" s="338" customFormat="1">
      <c r="C1782" s="558"/>
      <c r="D1782" s="559"/>
      <c r="E1782" s="559"/>
      <c r="F1782" s="559"/>
      <c r="G1782" s="558"/>
      <c r="H1782" s="559"/>
      <c r="I1782" s="559"/>
      <c r="J1782" s="559"/>
      <c r="K1782" s="560"/>
      <c r="L1782" s="560"/>
      <c r="M1782" s="560"/>
    </row>
    <row r="1783" spans="3:13" s="338" customFormat="1">
      <c r="C1783" s="558"/>
      <c r="D1783" s="559"/>
      <c r="E1783" s="559"/>
      <c r="F1783" s="559"/>
      <c r="G1783" s="558"/>
      <c r="H1783" s="559"/>
      <c r="I1783" s="559"/>
      <c r="J1783" s="559"/>
      <c r="K1783" s="560"/>
      <c r="L1783" s="560"/>
      <c r="M1783" s="560"/>
    </row>
    <row r="1784" spans="3:13" s="338" customFormat="1">
      <c r="C1784" s="558"/>
      <c r="D1784" s="559"/>
      <c r="E1784" s="559"/>
      <c r="F1784" s="559"/>
      <c r="G1784" s="558"/>
      <c r="H1784" s="559"/>
      <c r="I1784" s="559"/>
      <c r="J1784" s="559"/>
      <c r="K1784" s="560"/>
      <c r="L1784" s="560"/>
      <c r="M1784" s="560"/>
    </row>
    <row r="1785" spans="3:13" s="338" customFormat="1">
      <c r="C1785" s="558"/>
      <c r="D1785" s="559"/>
      <c r="E1785" s="559"/>
      <c r="F1785" s="559"/>
      <c r="G1785" s="558"/>
      <c r="H1785" s="559"/>
      <c r="I1785" s="559"/>
      <c r="J1785" s="559"/>
      <c r="K1785" s="560"/>
      <c r="L1785" s="560"/>
      <c r="M1785" s="560"/>
    </row>
    <row r="1786" spans="3:13" s="338" customFormat="1">
      <c r="C1786" s="558"/>
      <c r="D1786" s="559"/>
      <c r="E1786" s="559"/>
      <c r="F1786" s="559"/>
      <c r="G1786" s="558"/>
      <c r="H1786" s="559"/>
      <c r="I1786" s="559"/>
      <c r="J1786" s="559"/>
      <c r="K1786" s="560"/>
      <c r="L1786" s="560"/>
      <c r="M1786" s="560"/>
    </row>
    <row r="1787" spans="3:13" s="338" customFormat="1">
      <c r="C1787" s="558"/>
      <c r="D1787" s="559"/>
      <c r="E1787" s="559"/>
      <c r="F1787" s="559"/>
      <c r="G1787" s="558"/>
      <c r="H1787" s="559"/>
      <c r="I1787" s="559"/>
      <c r="J1787" s="559"/>
      <c r="K1787" s="560"/>
      <c r="L1787" s="560"/>
      <c r="M1787" s="560"/>
    </row>
    <row r="1788" spans="3:13" s="338" customFormat="1">
      <c r="C1788" s="558"/>
      <c r="D1788" s="559"/>
      <c r="E1788" s="559"/>
      <c r="F1788" s="559"/>
      <c r="G1788" s="558"/>
      <c r="H1788" s="559"/>
      <c r="I1788" s="559"/>
      <c r="J1788" s="559"/>
      <c r="K1788" s="560"/>
      <c r="L1788" s="560"/>
      <c r="M1788" s="560"/>
    </row>
    <row r="1789" spans="3:13" s="338" customFormat="1">
      <c r="C1789" s="558"/>
      <c r="D1789" s="559"/>
      <c r="E1789" s="559"/>
      <c r="F1789" s="559"/>
      <c r="G1789" s="558"/>
      <c r="H1789" s="559"/>
      <c r="I1789" s="559"/>
      <c r="J1789" s="559"/>
      <c r="K1789" s="560"/>
      <c r="L1789" s="560"/>
      <c r="M1789" s="560"/>
    </row>
    <row r="1790" spans="3:13" s="338" customFormat="1">
      <c r="C1790" s="558"/>
      <c r="D1790" s="559"/>
      <c r="E1790" s="559"/>
      <c r="F1790" s="559"/>
      <c r="G1790" s="558"/>
      <c r="H1790" s="559"/>
      <c r="I1790" s="559"/>
      <c r="J1790" s="559"/>
      <c r="K1790" s="560"/>
      <c r="L1790" s="560"/>
      <c r="M1790" s="560"/>
    </row>
    <row r="1791" spans="3:13" s="338" customFormat="1">
      <c r="C1791" s="558"/>
      <c r="D1791" s="559"/>
      <c r="E1791" s="559"/>
      <c r="F1791" s="559"/>
      <c r="G1791" s="558"/>
      <c r="H1791" s="559"/>
      <c r="I1791" s="559"/>
      <c r="J1791" s="559"/>
      <c r="K1791" s="560"/>
      <c r="L1791" s="560"/>
      <c r="M1791" s="560"/>
    </row>
    <row r="1792" spans="3:13" s="338" customFormat="1">
      <c r="C1792" s="558"/>
      <c r="D1792" s="559"/>
      <c r="E1792" s="559"/>
      <c r="F1792" s="559"/>
      <c r="G1792" s="558"/>
      <c r="H1792" s="559"/>
      <c r="I1792" s="559"/>
      <c r="J1792" s="559"/>
      <c r="K1792" s="560"/>
      <c r="L1792" s="560"/>
      <c r="M1792" s="560"/>
    </row>
    <row r="1793" spans="3:13" s="338" customFormat="1">
      <c r="C1793" s="558"/>
      <c r="D1793" s="559"/>
      <c r="E1793" s="559"/>
      <c r="F1793" s="559"/>
      <c r="G1793" s="558"/>
      <c r="H1793" s="559"/>
      <c r="I1793" s="559"/>
      <c r="J1793" s="559"/>
      <c r="K1793" s="560"/>
      <c r="L1793" s="560"/>
      <c r="M1793" s="560"/>
    </row>
    <row r="1794" spans="3:13" s="338" customFormat="1">
      <c r="C1794" s="558"/>
      <c r="D1794" s="559"/>
      <c r="E1794" s="559"/>
      <c r="F1794" s="559"/>
      <c r="G1794" s="558"/>
      <c r="H1794" s="559"/>
      <c r="I1794" s="559"/>
      <c r="J1794" s="559"/>
      <c r="K1794" s="560"/>
      <c r="L1794" s="560"/>
      <c r="M1794" s="560"/>
    </row>
    <row r="1795" spans="3:13" s="338" customFormat="1">
      <c r="C1795" s="558"/>
      <c r="D1795" s="559"/>
      <c r="E1795" s="559"/>
      <c r="F1795" s="559"/>
      <c r="G1795" s="558"/>
      <c r="H1795" s="559"/>
      <c r="I1795" s="559"/>
      <c r="J1795" s="559"/>
      <c r="K1795" s="560"/>
      <c r="L1795" s="560"/>
      <c r="M1795" s="560"/>
    </row>
    <row r="1796" spans="3:13" s="338" customFormat="1">
      <c r="C1796" s="558"/>
      <c r="D1796" s="559"/>
      <c r="E1796" s="559"/>
      <c r="F1796" s="559"/>
      <c r="G1796" s="558"/>
      <c r="H1796" s="559"/>
      <c r="I1796" s="559"/>
      <c r="J1796" s="559"/>
      <c r="K1796" s="560"/>
      <c r="L1796" s="560"/>
      <c r="M1796" s="560"/>
    </row>
    <row r="1797" spans="3:13" s="338" customFormat="1">
      <c r="C1797" s="558"/>
      <c r="D1797" s="559"/>
      <c r="E1797" s="559"/>
      <c r="F1797" s="559"/>
      <c r="G1797" s="558"/>
      <c r="H1797" s="559"/>
      <c r="I1797" s="559"/>
      <c r="J1797" s="559"/>
      <c r="K1797" s="560"/>
      <c r="L1797" s="560"/>
      <c r="M1797" s="560"/>
    </row>
    <row r="1798" spans="3:13" s="338" customFormat="1">
      <c r="C1798" s="558"/>
      <c r="D1798" s="559"/>
      <c r="E1798" s="559"/>
      <c r="F1798" s="559"/>
      <c r="G1798" s="558"/>
      <c r="H1798" s="559"/>
      <c r="I1798" s="559"/>
      <c r="J1798" s="559"/>
      <c r="K1798" s="560"/>
      <c r="L1798" s="560"/>
      <c r="M1798" s="560"/>
    </row>
    <row r="1799" spans="3:13" s="338" customFormat="1">
      <c r="C1799" s="558"/>
      <c r="D1799" s="559"/>
      <c r="E1799" s="559"/>
      <c r="F1799" s="559"/>
      <c r="G1799" s="558"/>
      <c r="H1799" s="559"/>
      <c r="I1799" s="559"/>
      <c r="J1799" s="559"/>
      <c r="K1799" s="560"/>
      <c r="L1799" s="560"/>
      <c r="M1799" s="560"/>
    </row>
    <row r="1800" spans="3:13" s="338" customFormat="1">
      <c r="C1800" s="558"/>
      <c r="D1800" s="559"/>
      <c r="E1800" s="559"/>
      <c r="F1800" s="559"/>
      <c r="G1800" s="558"/>
      <c r="H1800" s="559"/>
      <c r="I1800" s="559"/>
      <c r="J1800" s="559"/>
      <c r="K1800" s="560"/>
      <c r="L1800" s="560"/>
      <c r="M1800" s="560"/>
    </row>
    <row r="1801" spans="3:13" s="338" customFormat="1">
      <c r="C1801" s="558"/>
      <c r="D1801" s="559"/>
      <c r="E1801" s="559"/>
      <c r="F1801" s="559"/>
      <c r="G1801" s="558"/>
      <c r="H1801" s="559"/>
      <c r="I1801" s="559"/>
      <c r="J1801" s="559"/>
      <c r="K1801" s="560"/>
      <c r="L1801" s="560"/>
      <c r="M1801" s="560"/>
    </row>
    <row r="1802" spans="3:13" s="338" customFormat="1">
      <c r="C1802" s="558"/>
      <c r="D1802" s="559"/>
      <c r="E1802" s="559"/>
      <c r="F1802" s="559"/>
      <c r="G1802" s="558"/>
      <c r="H1802" s="559"/>
      <c r="I1802" s="559"/>
      <c r="J1802" s="559"/>
      <c r="K1802" s="560"/>
      <c r="L1802" s="560"/>
      <c r="M1802" s="560"/>
    </row>
    <row r="1803" spans="3:13" s="338" customFormat="1">
      <c r="C1803" s="558"/>
      <c r="D1803" s="559"/>
      <c r="E1803" s="559"/>
      <c r="F1803" s="559"/>
      <c r="G1803" s="558"/>
      <c r="H1803" s="559"/>
      <c r="I1803" s="559"/>
      <c r="J1803" s="559"/>
      <c r="K1803" s="560"/>
      <c r="L1803" s="560"/>
      <c r="M1803" s="560"/>
    </row>
    <row r="1804" spans="3:13" s="338" customFormat="1">
      <c r="C1804" s="558"/>
      <c r="D1804" s="559"/>
      <c r="E1804" s="559"/>
      <c r="F1804" s="559"/>
      <c r="G1804" s="558"/>
      <c r="H1804" s="559"/>
      <c r="I1804" s="559"/>
      <c r="J1804" s="559"/>
      <c r="K1804" s="560"/>
      <c r="L1804" s="560"/>
      <c r="M1804" s="560"/>
    </row>
    <row r="1805" spans="3:13" s="338" customFormat="1">
      <c r="C1805" s="558"/>
      <c r="D1805" s="559"/>
      <c r="E1805" s="559"/>
      <c r="F1805" s="559"/>
      <c r="G1805" s="558"/>
      <c r="H1805" s="559"/>
      <c r="I1805" s="559"/>
      <c r="J1805" s="559"/>
      <c r="K1805" s="560"/>
      <c r="L1805" s="560"/>
      <c r="M1805" s="560"/>
    </row>
    <row r="1806" spans="3:13" s="338" customFormat="1">
      <c r="C1806" s="558"/>
      <c r="D1806" s="559"/>
      <c r="E1806" s="559"/>
      <c r="F1806" s="559"/>
      <c r="G1806" s="558"/>
      <c r="H1806" s="559"/>
      <c r="I1806" s="559"/>
      <c r="J1806" s="559"/>
      <c r="K1806" s="560"/>
      <c r="L1806" s="560"/>
      <c r="M1806" s="560"/>
    </row>
    <row r="1807" spans="3:13" s="338" customFormat="1">
      <c r="C1807" s="558"/>
      <c r="D1807" s="559"/>
      <c r="E1807" s="559"/>
      <c r="F1807" s="559"/>
      <c r="G1807" s="558"/>
      <c r="H1807" s="559"/>
      <c r="I1807" s="559"/>
      <c r="J1807" s="559"/>
      <c r="K1807" s="560"/>
      <c r="L1807" s="560"/>
      <c r="M1807" s="560"/>
    </row>
    <row r="1808" spans="3:13" s="338" customFormat="1">
      <c r="C1808" s="558"/>
      <c r="D1808" s="559"/>
      <c r="E1808" s="559"/>
      <c r="F1808" s="559"/>
      <c r="G1808" s="558"/>
      <c r="H1808" s="559"/>
      <c r="I1808" s="559"/>
      <c r="J1808" s="559"/>
      <c r="K1808" s="560"/>
      <c r="L1808" s="560"/>
      <c r="M1808" s="560"/>
    </row>
    <row r="1809" spans="3:13" s="338" customFormat="1">
      <c r="C1809" s="558"/>
      <c r="D1809" s="559"/>
      <c r="E1809" s="559"/>
      <c r="F1809" s="559"/>
      <c r="G1809" s="558"/>
      <c r="H1809" s="559"/>
      <c r="I1809" s="559"/>
      <c r="J1809" s="559"/>
      <c r="K1809" s="560"/>
      <c r="L1809" s="560"/>
      <c r="M1809" s="560"/>
    </row>
    <row r="1810" spans="3:13" s="338" customFormat="1">
      <c r="C1810" s="558"/>
      <c r="D1810" s="559"/>
      <c r="E1810" s="559"/>
      <c r="F1810" s="559"/>
      <c r="G1810" s="558"/>
      <c r="H1810" s="559"/>
      <c r="I1810" s="559"/>
      <c r="J1810" s="559"/>
      <c r="K1810" s="560"/>
      <c r="L1810" s="560"/>
      <c r="M1810" s="560"/>
    </row>
    <row r="1811" spans="3:13" s="338" customFormat="1">
      <c r="C1811" s="558"/>
      <c r="D1811" s="559"/>
      <c r="E1811" s="559"/>
      <c r="F1811" s="559"/>
      <c r="G1811" s="558"/>
      <c r="H1811" s="559"/>
      <c r="I1811" s="559"/>
      <c r="J1811" s="559"/>
      <c r="K1811" s="560"/>
      <c r="L1811" s="560"/>
      <c r="M1811" s="560"/>
    </row>
    <row r="1812" spans="3:13" s="338" customFormat="1">
      <c r="C1812" s="558"/>
      <c r="D1812" s="559"/>
      <c r="E1812" s="559"/>
      <c r="F1812" s="559"/>
      <c r="G1812" s="558"/>
      <c r="H1812" s="559"/>
      <c r="I1812" s="559"/>
      <c r="J1812" s="559"/>
      <c r="K1812" s="560"/>
      <c r="L1812" s="560"/>
      <c r="M1812" s="560"/>
    </row>
    <row r="1813" spans="3:13" s="338" customFormat="1">
      <c r="C1813" s="558"/>
      <c r="D1813" s="559"/>
      <c r="E1813" s="559"/>
      <c r="F1813" s="559"/>
      <c r="G1813" s="558"/>
      <c r="H1813" s="559"/>
      <c r="I1813" s="559"/>
      <c r="J1813" s="559"/>
      <c r="K1813" s="560"/>
      <c r="L1813" s="560"/>
      <c r="M1813" s="560"/>
    </row>
    <row r="1814" spans="3:13" s="338" customFormat="1">
      <c r="C1814" s="558"/>
      <c r="D1814" s="559"/>
      <c r="E1814" s="559"/>
      <c r="F1814" s="559"/>
      <c r="G1814" s="558"/>
      <c r="H1814" s="559"/>
      <c r="I1814" s="559"/>
      <c r="J1814" s="559"/>
      <c r="K1814" s="560"/>
      <c r="L1814" s="560"/>
      <c r="M1814" s="560"/>
    </row>
    <row r="1815" spans="3:13" s="338" customFormat="1">
      <c r="C1815" s="558"/>
      <c r="D1815" s="559"/>
      <c r="E1815" s="559"/>
      <c r="F1815" s="559"/>
      <c r="G1815" s="558"/>
      <c r="H1815" s="559"/>
      <c r="I1815" s="559"/>
      <c r="J1815" s="559"/>
      <c r="K1815" s="560"/>
      <c r="L1815" s="560"/>
      <c r="M1815" s="560"/>
    </row>
    <row r="1816" spans="3:13" s="338" customFormat="1">
      <c r="C1816" s="558"/>
      <c r="D1816" s="559"/>
      <c r="E1816" s="559"/>
      <c r="F1816" s="559"/>
      <c r="G1816" s="558"/>
      <c r="H1816" s="559"/>
      <c r="I1816" s="559"/>
      <c r="J1816" s="559"/>
      <c r="K1816" s="560"/>
      <c r="L1816" s="560"/>
      <c r="M1816" s="560"/>
    </row>
    <row r="1817" spans="3:13" s="338" customFormat="1">
      <c r="C1817" s="558"/>
      <c r="D1817" s="559"/>
      <c r="E1817" s="559"/>
      <c r="F1817" s="559"/>
      <c r="G1817" s="558"/>
      <c r="H1817" s="559"/>
      <c r="I1817" s="559"/>
      <c r="J1817" s="559"/>
      <c r="K1817" s="560"/>
      <c r="L1817" s="560"/>
      <c r="M1817" s="560"/>
    </row>
    <row r="1818" spans="3:13" s="338" customFormat="1">
      <c r="C1818" s="558"/>
      <c r="D1818" s="559"/>
      <c r="E1818" s="559"/>
      <c r="F1818" s="559"/>
      <c r="G1818" s="558"/>
      <c r="H1818" s="559"/>
      <c r="I1818" s="559"/>
      <c r="J1818" s="559"/>
      <c r="K1818" s="560"/>
      <c r="L1818" s="560"/>
      <c r="M1818" s="560"/>
    </row>
    <row r="1819" spans="3:13" s="338" customFormat="1">
      <c r="C1819" s="558"/>
      <c r="D1819" s="559"/>
      <c r="E1819" s="559"/>
      <c r="F1819" s="559"/>
      <c r="G1819" s="558"/>
      <c r="H1819" s="559"/>
      <c r="I1819" s="559"/>
      <c r="J1819" s="559"/>
      <c r="K1819" s="560"/>
      <c r="L1819" s="560"/>
      <c r="M1819" s="560"/>
    </row>
    <row r="1820" spans="3:13" s="338" customFormat="1">
      <c r="C1820" s="558"/>
      <c r="D1820" s="559"/>
      <c r="E1820" s="559"/>
      <c r="F1820" s="559"/>
      <c r="G1820" s="558"/>
      <c r="H1820" s="559"/>
      <c r="I1820" s="559"/>
      <c r="J1820" s="559"/>
      <c r="K1820" s="560"/>
      <c r="L1820" s="560"/>
      <c r="M1820" s="560"/>
    </row>
    <row r="1821" spans="3:13" s="338" customFormat="1">
      <c r="C1821" s="558"/>
      <c r="D1821" s="559"/>
      <c r="E1821" s="559"/>
      <c r="F1821" s="559"/>
      <c r="G1821" s="558"/>
      <c r="H1821" s="559"/>
      <c r="I1821" s="559"/>
      <c r="J1821" s="559"/>
      <c r="K1821" s="560"/>
      <c r="L1821" s="560"/>
      <c r="M1821" s="560"/>
    </row>
    <row r="1822" spans="3:13" s="338" customFormat="1">
      <c r="C1822" s="558"/>
      <c r="D1822" s="559"/>
      <c r="E1822" s="559"/>
      <c r="F1822" s="559"/>
      <c r="G1822" s="558"/>
      <c r="H1822" s="559"/>
      <c r="I1822" s="559"/>
      <c r="J1822" s="559"/>
      <c r="K1822" s="560"/>
      <c r="L1822" s="560"/>
      <c r="M1822" s="560"/>
    </row>
    <row r="1823" spans="3:13" s="338" customFormat="1">
      <c r="C1823" s="558"/>
      <c r="D1823" s="559"/>
      <c r="E1823" s="559"/>
      <c r="F1823" s="559"/>
      <c r="G1823" s="558"/>
      <c r="H1823" s="559"/>
      <c r="I1823" s="559"/>
      <c r="J1823" s="559"/>
      <c r="K1823" s="560"/>
      <c r="L1823" s="560"/>
      <c r="M1823" s="560"/>
    </row>
    <row r="1824" spans="3:13" s="338" customFormat="1">
      <c r="C1824" s="558"/>
      <c r="D1824" s="559"/>
      <c r="E1824" s="559"/>
      <c r="F1824" s="559"/>
      <c r="G1824" s="558"/>
      <c r="H1824" s="559"/>
      <c r="I1824" s="559"/>
      <c r="J1824" s="559"/>
      <c r="K1824" s="560"/>
      <c r="L1824" s="560"/>
      <c r="M1824" s="560"/>
    </row>
    <row r="1825" spans="3:13" s="338" customFormat="1">
      <c r="C1825" s="558"/>
      <c r="D1825" s="559"/>
      <c r="E1825" s="559"/>
      <c r="F1825" s="559"/>
      <c r="G1825" s="558"/>
      <c r="H1825" s="559"/>
      <c r="I1825" s="559"/>
      <c r="J1825" s="559"/>
      <c r="K1825" s="560"/>
      <c r="L1825" s="560"/>
      <c r="M1825" s="560"/>
    </row>
    <row r="1826" spans="3:13" s="338" customFormat="1">
      <c r="C1826" s="558"/>
      <c r="D1826" s="559"/>
      <c r="E1826" s="559"/>
      <c r="F1826" s="559"/>
      <c r="G1826" s="558"/>
      <c r="H1826" s="559"/>
      <c r="I1826" s="559"/>
      <c r="J1826" s="559"/>
      <c r="K1826" s="560"/>
      <c r="L1826" s="560"/>
      <c r="M1826" s="560"/>
    </row>
    <row r="1827" spans="3:13" s="338" customFormat="1">
      <c r="C1827" s="558"/>
      <c r="D1827" s="559"/>
      <c r="E1827" s="559"/>
      <c r="F1827" s="559"/>
      <c r="G1827" s="558"/>
      <c r="H1827" s="559"/>
      <c r="I1827" s="559"/>
      <c r="J1827" s="559"/>
      <c r="K1827" s="560"/>
      <c r="L1827" s="560"/>
      <c r="M1827" s="560"/>
    </row>
    <row r="1828" spans="3:13" s="338" customFormat="1">
      <c r="C1828" s="558"/>
      <c r="D1828" s="559"/>
      <c r="E1828" s="559"/>
      <c r="F1828" s="559"/>
      <c r="G1828" s="558"/>
      <c r="H1828" s="559"/>
      <c r="I1828" s="559"/>
      <c r="J1828" s="559"/>
      <c r="K1828" s="560"/>
      <c r="L1828" s="560"/>
      <c r="M1828" s="560"/>
    </row>
    <row r="1829" spans="3:13" s="338" customFormat="1">
      <c r="C1829" s="558"/>
      <c r="D1829" s="559"/>
      <c r="E1829" s="559"/>
      <c r="F1829" s="559"/>
      <c r="G1829" s="558"/>
      <c r="H1829" s="559"/>
      <c r="I1829" s="559"/>
      <c r="J1829" s="559"/>
      <c r="K1829" s="560"/>
      <c r="L1829" s="560"/>
      <c r="M1829" s="560"/>
    </row>
    <row r="1830" spans="3:13" s="338" customFormat="1">
      <c r="C1830" s="558"/>
      <c r="D1830" s="559"/>
      <c r="E1830" s="559"/>
      <c r="F1830" s="559"/>
      <c r="G1830" s="558"/>
      <c r="H1830" s="559"/>
      <c r="I1830" s="559"/>
      <c r="J1830" s="559"/>
      <c r="K1830" s="560"/>
      <c r="L1830" s="560"/>
      <c r="M1830" s="560"/>
    </row>
    <row r="1831" spans="3:13" s="338" customFormat="1">
      <c r="C1831" s="558"/>
      <c r="D1831" s="559"/>
      <c r="E1831" s="559"/>
      <c r="F1831" s="559"/>
      <c r="G1831" s="558"/>
      <c r="H1831" s="559"/>
      <c r="I1831" s="559"/>
      <c r="J1831" s="559"/>
      <c r="K1831" s="560"/>
      <c r="L1831" s="560"/>
      <c r="M1831" s="560"/>
    </row>
    <row r="1832" spans="3:13" s="338" customFormat="1">
      <c r="C1832" s="558"/>
      <c r="D1832" s="559"/>
      <c r="E1832" s="559"/>
      <c r="F1832" s="559"/>
      <c r="G1832" s="558"/>
      <c r="H1832" s="559"/>
      <c r="I1832" s="559"/>
      <c r="J1832" s="559"/>
      <c r="K1832" s="560"/>
      <c r="L1832" s="560"/>
      <c r="M1832" s="560"/>
    </row>
    <row r="1833" spans="3:13" s="338" customFormat="1">
      <c r="C1833" s="558"/>
      <c r="D1833" s="559"/>
      <c r="E1833" s="559"/>
      <c r="F1833" s="559"/>
      <c r="G1833" s="558"/>
      <c r="H1833" s="559"/>
      <c r="I1833" s="559"/>
      <c r="J1833" s="559"/>
      <c r="K1833" s="560"/>
      <c r="L1833" s="560"/>
      <c r="M1833" s="560"/>
    </row>
    <row r="1834" spans="3:13" s="338" customFormat="1">
      <c r="C1834" s="558"/>
      <c r="D1834" s="559"/>
      <c r="E1834" s="559"/>
      <c r="F1834" s="559"/>
      <c r="G1834" s="558"/>
      <c r="H1834" s="559"/>
      <c r="I1834" s="559"/>
      <c r="J1834" s="559"/>
      <c r="K1834" s="560"/>
      <c r="L1834" s="560"/>
      <c r="M1834" s="560"/>
    </row>
    <row r="1835" spans="3:13" s="338" customFormat="1">
      <c r="C1835" s="558"/>
      <c r="D1835" s="559"/>
      <c r="E1835" s="559"/>
      <c r="F1835" s="559"/>
      <c r="G1835" s="558"/>
      <c r="H1835" s="559"/>
      <c r="I1835" s="559"/>
      <c r="J1835" s="559"/>
      <c r="K1835" s="560"/>
      <c r="L1835" s="560"/>
      <c r="M1835" s="560"/>
    </row>
    <row r="1836" spans="3:13" s="338" customFormat="1">
      <c r="C1836" s="558"/>
      <c r="D1836" s="559"/>
      <c r="E1836" s="559"/>
      <c r="F1836" s="559"/>
      <c r="G1836" s="558"/>
      <c r="H1836" s="559"/>
      <c r="I1836" s="559"/>
      <c r="J1836" s="559"/>
      <c r="K1836" s="560"/>
      <c r="L1836" s="560"/>
      <c r="M1836" s="560"/>
    </row>
    <row r="1837" spans="3:13" s="338" customFormat="1">
      <c r="C1837" s="558"/>
      <c r="D1837" s="559"/>
      <c r="E1837" s="559"/>
      <c r="F1837" s="559"/>
      <c r="G1837" s="558"/>
      <c r="H1837" s="559"/>
      <c r="I1837" s="559"/>
      <c r="J1837" s="559"/>
      <c r="K1837" s="560"/>
      <c r="L1837" s="560"/>
      <c r="M1837" s="560"/>
    </row>
    <row r="1838" spans="3:13" s="338" customFormat="1">
      <c r="C1838" s="558"/>
      <c r="D1838" s="559"/>
      <c r="E1838" s="559"/>
      <c r="F1838" s="559"/>
      <c r="G1838" s="558"/>
      <c r="H1838" s="559"/>
      <c r="I1838" s="559"/>
      <c r="J1838" s="559"/>
      <c r="K1838" s="560"/>
      <c r="L1838" s="560"/>
      <c r="M1838" s="560"/>
    </row>
    <row r="1839" spans="3:13" s="338" customFormat="1">
      <c r="C1839" s="558"/>
      <c r="D1839" s="559"/>
      <c r="E1839" s="559"/>
      <c r="F1839" s="559"/>
      <c r="G1839" s="558"/>
      <c r="H1839" s="559"/>
      <c r="I1839" s="559"/>
      <c r="J1839" s="559"/>
      <c r="K1839" s="560"/>
      <c r="L1839" s="560"/>
      <c r="M1839" s="560"/>
    </row>
    <row r="1840" spans="3:13" s="338" customFormat="1">
      <c r="C1840" s="558"/>
      <c r="D1840" s="559"/>
      <c r="E1840" s="559"/>
      <c r="F1840" s="559"/>
      <c r="G1840" s="558"/>
      <c r="H1840" s="559"/>
      <c r="I1840" s="559"/>
      <c r="J1840" s="559"/>
      <c r="K1840" s="560"/>
      <c r="L1840" s="560"/>
      <c r="M1840" s="560"/>
    </row>
    <row r="1841" spans="3:13" s="338" customFormat="1">
      <c r="C1841" s="558"/>
      <c r="D1841" s="559"/>
      <c r="E1841" s="559"/>
      <c r="F1841" s="559"/>
      <c r="G1841" s="558"/>
      <c r="H1841" s="559"/>
      <c r="I1841" s="559"/>
      <c r="J1841" s="559"/>
      <c r="K1841" s="560"/>
      <c r="L1841" s="560"/>
      <c r="M1841" s="560"/>
    </row>
    <row r="1842" spans="3:13" s="338" customFormat="1">
      <c r="C1842" s="558"/>
      <c r="D1842" s="559"/>
      <c r="E1842" s="559"/>
      <c r="F1842" s="559"/>
      <c r="G1842" s="558"/>
      <c r="H1842" s="559"/>
      <c r="I1842" s="559"/>
      <c r="J1842" s="559"/>
      <c r="K1842" s="560"/>
      <c r="L1842" s="560"/>
      <c r="M1842" s="560"/>
    </row>
    <row r="1843" spans="3:13" s="338" customFormat="1">
      <c r="C1843" s="558"/>
      <c r="D1843" s="559"/>
      <c r="E1843" s="559"/>
      <c r="F1843" s="559"/>
      <c r="G1843" s="558"/>
      <c r="H1843" s="559"/>
      <c r="I1843" s="559"/>
      <c r="J1843" s="559"/>
      <c r="K1843" s="560"/>
      <c r="L1843" s="560"/>
      <c r="M1843" s="560"/>
    </row>
    <row r="1844" spans="3:13" s="338" customFormat="1">
      <c r="C1844" s="558"/>
      <c r="D1844" s="559"/>
      <c r="E1844" s="559"/>
      <c r="F1844" s="559"/>
      <c r="G1844" s="558"/>
      <c r="H1844" s="559"/>
      <c r="I1844" s="559"/>
      <c r="J1844" s="559"/>
      <c r="K1844" s="560"/>
      <c r="L1844" s="560"/>
      <c r="M1844" s="560"/>
    </row>
    <row r="1845" spans="3:13" s="338" customFormat="1">
      <c r="C1845" s="558"/>
      <c r="D1845" s="559"/>
      <c r="E1845" s="559"/>
      <c r="F1845" s="559"/>
      <c r="G1845" s="558"/>
      <c r="H1845" s="559"/>
      <c r="I1845" s="559"/>
      <c r="J1845" s="559"/>
      <c r="K1845" s="560"/>
      <c r="L1845" s="560"/>
      <c r="M1845" s="560"/>
    </row>
    <row r="1846" spans="3:13" s="338" customFormat="1">
      <c r="C1846" s="558"/>
      <c r="D1846" s="559"/>
      <c r="E1846" s="559"/>
      <c r="F1846" s="559"/>
      <c r="G1846" s="558"/>
      <c r="H1846" s="559"/>
      <c r="I1846" s="559"/>
      <c r="J1846" s="559"/>
      <c r="K1846" s="560"/>
      <c r="L1846" s="560"/>
      <c r="M1846" s="560"/>
    </row>
    <row r="1847" spans="3:13" s="338" customFormat="1">
      <c r="C1847" s="558"/>
      <c r="D1847" s="559"/>
      <c r="E1847" s="559"/>
      <c r="F1847" s="559"/>
      <c r="G1847" s="558"/>
      <c r="H1847" s="559"/>
      <c r="I1847" s="559"/>
      <c r="J1847" s="559"/>
      <c r="K1847" s="560"/>
      <c r="L1847" s="560"/>
      <c r="M1847" s="560"/>
    </row>
    <row r="1848" spans="3:13" s="338" customFormat="1">
      <c r="C1848" s="558"/>
      <c r="D1848" s="559"/>
      <c r="E1848" s="559"/>
      <c r="F1848" s="559"/>
      <c r="G1848" s="558"/>
      <c r="H1848" s="559"/>
      <c r="I1848" s="559"/>
      <c r="J1848" s="559"/>
      <c r="K1848" s="560"/>
      <c r="L1848" s="560"/>
      <c r="M1848" s="560"/>
    </row>
    <row r="1849" spans="3:13" s="338" customFormat="1">
      <c r="C1849" s="558"/>
      <c r="D1849" s="559"/>
      <c r="E1849" s="559"/>
      <c r="F1849" s="559"/>
      <c r="G1849" s="558"/>
      <c r="H1849" s="559"/>
      <c r="I1849" s="559"/>
      <c r="J1849" s="559"/>
      <c r="K1849" s="560"/>
      <c r="L1849" s="560"/>
      <c r="M1849" s="560"/>
    </row>
    <row r="1850" spans="3:13" s="338" customFormat="1">
      <c r="C1850" s="558"/>
      <c r="D1850" s="559"/>
      <c r="E1850" s="559"/>
      <c r="F1850" s="559"/>
      <c r="G1850" s="558"/>
      <c r="H1850" s="559"/>
      <c r="I1850" s="559"/>
      <c r="J1850" s="559"/>
      <c r="K1850" s="560"/>
      <c r="L1850" s="560"/>
      <c r="M1850" s="560"/>
    </row>
    <row r="1851" spans="3:13" s="338" customFormat="1">
      <c r="C1851" s="558"/>
      <c r="D1851" s="559"/>
      <c r="E1851" s="559"/>
      <c r="F1851" s="559"/>
      <c r="G1851" s="558"/>
      <c r="H1851" s="559"/>
      <c r="I1851" s="559"/>
      <c r="J1851" s="559"/>
      <c r="K1851" s="560"/>
      <c r="L1851" s="560"/>
      <c r="M1851" s="560"/>
    </row>
    <row r="1852" spans="3:13" s="338" customFormat="1">
      <c r="C1852" s="558"/>
      <c r="D1852" s="559"/>
      <c r="E1852" s="559"/>
      <c r="F1852" s="559"/>
      <c r="G1852" s="558"/>
      <c r="H1852" s="559"/>
      <c r="I1852" s="559"/>
      <c r="J1852" s="559"/>
      <c r="K1852" s="560"/>
      <c r="L1852" s="560"/>
      <c r="M1852" s="560"/>
    </row>
    <row r="1853" spans="3:13" s="338" customFormat="1">
      <c r="C1853" s="558"/>
      <c r="D1853" s="559"/>
      <c r="E1853" s="559"/>
      <c r="F1853" s="559"/>
      <c r="G1853" s="558"/>
      <c r="H1853" s="559"/>
      <c r="I1853" s="559"/>
      <c r="J1853" s="559"/>
      <c r="K1853" s="560"/>
      <c r="L1853" s="560"/>
      <c r="M1853" s="560"/>
    </row>
    <row r="1854" spans="3:13" s="338" customFormat="1">
      <c r="C1854" s="558"/>
      <c r="D1854" s="559"/>
      <c r="E1854" s="559"/>
      <c r="F1854" s="559"/>
      <c r="G1854" s="558"/>
      <c r="H1854" s="559"/>
      <c r="I1854" s="559"/>
      <c r="J1854" s="559"/>
      <c r="K1854" s="560"/>
      <c r="L1854" s="560"/>
      <c r="M1854" s="560"/>
    </row>
    <row r="1855" spans="3:13" s="338" customFormat="1">
      <c r="C1855" s="558"/>
      <c r="D1855" s="559"/>
      <c r="E1855" s="559"/>
      <c r="F1855" s="559"/>
      <c r="G1855" s="558"/>
      <c r="H1855" s="559"/>
      <c r="I1855" s="559"/>
      <c r="J1855" s="559"/>
      <c r="K1855" s="560"/>
      <c r="L1855" s="560"/>
      <c r="M1855" s="560"/>
    </row>
    <row r="1856" spans="3:13" s="338" customFormat="1">
      <c r="C1856" s="558"/>
      <c r="D1856" s="559"/>
      <c r="E1856" s="559"/>
      <c r="F1856" s="559"/>
      <c r="G1856" s="558"/>
      <c r="H1856" s="559"/>
      <c r="I1856" s="559"/>
      <c r="J1856" s="559"/>
      <c r="K1856" s="560"/>
      <c r="L1856" s="560"/>
      <c r="M1856" s="560"/>
    </row>
    <row r="1857" spans="3:13" s="338" customFormat="1">
      <c r="C1857" s="558"/>
      <c r="D1857" s="559"/>
      <c r="E1857" s="559"/>
      <c r="F1857" s="559"/>
      <c r="G1857" s="558"/>
      <c r="H1857" s="559"/>
      <c r="I1857" s="559"/>
      <c r="J1857" s="559"/>
      <c r="K1857" s="560"/>
      <c r="L1857" s="560"/>
      <c r="M1857" s="560"/>
    </row>
    <row r="1858" spans="3:13" s="338" customFormat="1">
      <c r="C1858" s="558"/>
      <c r="D1858" s="559"/>
      <c r="E1858" s="559"/>
      <c r="F1858" s="559"/>
      <c r="G1858" s="558"/>
      <c r="H1858" s="559"/>
      <c r="I1858" s="559"/>
      <c r="J1858" s="559"/>
      <c r="K1858" s="560"/>
      <c r="L1858" s="560"/>
      <c r="M1858" s="560"/>
    </row>
    <row r="1859" spans="3:13" s="338" customFormat="1">
      <c r="C1859" s="558"/>
      <c r="D1859" s="559"/>
      <c r="E1859" s="559"/>
      <c r="F1859" s="559"/>
      <c r="G1859" s="558"/>
      <c r="H1859" s="559"/>
      <c r="I1859" s="559"/>
      <c r="J1859" s="559"/>
      <c r="K1859" s="560"/>
      <c r="L1859" s="560"/>
      <c r="M1859" s="560"/>
    </row>
    <row r="1860" spans="3:13" s="338" customFormat="1">
      <c r="C1860" s="558"/>
      <c r="D1860" s="559"/>
      <c r="E1860" s="559"/>
      <c r="F1860" s="559"/>
      <c r="G1860" s="558"/>
      <c r="H1860" s="559"/>
      <c r="I1860" s="559"/>
      <c r="J1860" s="559"/>
      <c r="K1860" s="560"/>
      <c r="L1860" s="560"/>
      <c r="M1860" s="560"/>
    </row>
    <row r="1861" spans="3:13" s="338" customFormat="1">
      <c r="C1861" s="558"/>
      <c r="D1861" s="559"/>
      <c r="E1861" s="559"/>
      <c r="F1861" s="559"/>
      <c r="G1861" s="558"/>
      <c r="H1861" s="559"/>
      <c r="I1861" s="559"/>
      <c r="J1861" s="559"/>
      <c r="K1861" s="560"/>
      <c r="L1861" s="560"/>
      <c r="M1861" s="560"/>
    </row>
    <row r="1862" spans="3:13" s="338" customFormat="1">
      <c r="C1862" s="558"/>
      <c r="D1862" s="559"/>
      <c r="E1862" s="559"/>
      <c r="F1862" s="559"/>
      <c r="G1862" s="558"/>
      <c r="H1862" s="559"/>
      <c r="I1862" s="559"/>
      <c r="J1862" s="559"/>
      <c r="K1862" s="560"/>
      <c r="L1862" s="560"/>
      <c r="M1862" s="560"/>
    </row>
    <row r="1863" spans="3:13" s="338" customFormat="1">
      <c r="C1863" s="558"/>
      <c r="D1863" s="559"/>
      <c r="E1863" s="559"/>
      <c r="F1863" s="559"/>
      <c r="G1863" s="558"/>
      <c r="H1863" s="559"/>
      <c r="I1863" s="559"/>
      <c r="J1863" s="559"/>
      <c r="K1863" s="560"/>
      <c r="L1863" s="560"/>
      <c r="M1863" s="560"/>
    </row>
    <row r="1864" spans="3:13" s="338" customFormat="1">
      <c r="C1864" s="558"/>
      <c r="D1864" s="559"/>
      <c r="E1864" s="559"/>
      <c r="F1864" s="559"/>
      <c r="G1864" s="558"/>
      <c r="H1864" s="559"/>
      <c r="I1864" s="559"/>
      <c r="J1864" s="559"/>
      <c r="K1864" s="560"/>
      <c r="L1864" s="560"/>
      <c r="M1864" s="560"/>
    </row>
    <row r="1865" spans="3:13" s="338" customFormat="1">
      <c r="C1865" s="558"/>
      <c r="D1865" s="559"/>
      <c r="E1865" s="559"/>
      <c r="F1865" s="559"/>
      <c r="G1865" s="558"/>
      <c r="H1865" s="559"/>
      <c r="I1865" s="559"/>
      <c r="J1865" s="559"/>
      <c r="K1865" s="560"/>
      <c r="L1865" s="560"/>
      <c r="M1865" s="560"/>
    </row>
    <row r="1866" spans="3:13" s="338" customFormat="1">
      <c r="C1866" s="558"/>
      <c r="D1866" s="559"/>
      <c r="E1866" s="559"/>
      <c r="F1866" s="559"/>
      <c r="G1866" s="558"/>
      <c r="H1866" s="559"/>
      <c r="I1866" s="559"/>
      <c r="J1866" s="559"/>
      <c r="K1866" s="560"/>
      <c r="L1866" s="560"/>
      <c r="M1866" s="560"/>
    </row>
    <row r="1867" spans="3:13" s="338" customFormat="1">
      <c r="C1867" s="558"/>
      <c r="D1867" s="559"/>
      <c r="E1867" s="559"/>
      <c r="F1867" s="559"/>
      <c r="G1867" s="558"/>
      <c r="H1867" s="559"/>
      <c r="I1867" s="559"/>
      <c r="J1867" s="559"/>
      <c r="K1867" s="560"/>
      <c r="L1867" s="560"/>
      <c r="M1867" s="560"/>
    </row>
    <row r="1868" spans="3:13" s="338" customFormat="1">
      <c r="C1868" s="558"/>
      <c r="D1868" s="559"/>
      <c r="E1868" s="559"/>
      <c r="F1868" s="559"/>
      <c r="G1868" s="558"/>
      <c r="H1868" s="559"/>
      <c r="I1868" s="559"/>
      <c r="J1868" s="559"/>
      <c r="K1868" s="560"/>
      <c r="L1868" s="560"/>
      <c r="M1868" s="560"/>
    </row>
    <row r="1869" spans="3:13" s="338" customFormat="1">
      <c r="C1869" s="558"/>
      <c r="D1869" s="559"/>
      <c r="E1869" s="559"/>
      <c r="F1869" s="559"/>
      <c r="G1869" s="558"/>
      <c r="H1869" s="559"/>
      <c r="I1869" s="559"/>
      <c r="J1869" s="559"/>
      <c r="K1869" s="560"/>
      <c r="L1869" s="560"/>
      <c r="M1869" s="560"/>
    </row>
    <row r="1870" spans="3:13" s="338" customFormat="1">
      <c r="C1870" s="558"/>
      <c r="D1870" s="559"/>
      <c r="E1870" s="559"/>
      <c r="F1870" s="559"/>
      <c r="G1870" s="558"/>
      <c r="H1870" s="559"/>
      <c r="I1870" s="559"/>
      <c r="J1870" s="559"/>
      <c r="K1870" s="560"/>
      <c r="L1870" s="560"/>
      <c r="M1870" s="560"/>
    </row>
    <row r="1871" spans="3:13" s="338" customFormat="1">
      <c r="C1871" s="558"/>
      <c r="D1871" s="559"/>
      <c r="E1871" s="559"/>
      <c r="F1871" s="559"/>
      <c r="G1871" s="558"/>
      <c r="H1871" s="559"/>
      <c r="I1871" s="559"/>
      <c r="J1871" s="559"/>
      <c r="K1871" s="560"/>
      <c r="L1871" s="560"/>
      <c r="M1871" s="560"/>
    </row>
    <row r="1872" spans="3:13" s="338" customFormat="1">
      <c r="C1872" s="558"/>
      <c r="D1872" s="559"/>
      <c r="E1872" s="559"/>
      <c r="F1872" s="559"/>
      <c r="G1872" s="558"/>
      <c r="H1872" s="559"/>
      <c r="I1872" s="559"/>
      <c r="J1872" s="559"/>
      <c r="K1872" s="560"/>
      <c r="L1872" s="560"/>
      <c r="M1872" s="560"/>
    </row>
    <row r="1873" spans="3:13" s="338" customFormat="1">
      <c r="C1873" s="558"/>
      <c r="D1873" s="559"/>
      <c r="E1873" s="559"/>
      <c r="F1873" s="559"/>
      <c r="G1873" s="558"/>
      <c r="H1873" s="559"/>
      <c r="I1873" s="559"/>
      <c r="J1873" s="559"/>
      <c r="K1873" s="560"/>
      <c r="L1873" s="560"/>
      <c r="M1873" s="560"/>
    </row>
    <row r="1874" spans="3:13" s="338" customFormat="1">
      <c r="C1874" s="558"/>
      <c r="D1874" s="559"/>
      <c r="E1874" s="559"/>
      <c r="F1874" s="559"/>
      <c r="G1874" s="558"/>
      <c r="H1874" s="559"/>
      <c r="I1874" s="559"/>
      <c r="J1874" s="559"/>
      <c r="K1874" s="560"/>
      <c r="L1874" s="560"/>
      <c r="M1874" s="560"/>
    </row>
    <row r="1875" spans="3:13" s="338" customFormat="1">
      <c r="C1875" s="558"/>
      <c r="D1875" s="559"/>
      <c r="E1875" s="559"/>
      <c r="F1875" s="559"/>
      <c r="G1875" s="558"/>
      <c r="H1875" s="559"/>
      <c r="I1875" s="559"/>
      <c r="J1875" s="559"/>
      <c r="K1875" s="560"/>
      <c r="L1875" s="560"/>
      <c r="M1875" s="560"/>
    </row>
    <row r="1876" spans="3:13" s="338" customFormat="1">
      <c r="C1876" s="558"/>
      <c r="D1876" s="559"/>
      <c r="E1876" s="559"/>
      <c r="F1876" s="559"/>
      <c r="G1876" s="558"/>
      <c r="H1876" s="559"/>
      <c r="I1876" s="559"/>
      <c r="J1876" s="559"/>
      <c r="K1876" s="560"/>
      <c r="L1876" s="560"/>
      <c r="M1876" s="560"/>
    </row>
    <row r="1877" spans="3:13" s="338" customFormat="1">
      <c r="C1877" s="558"/>
      <c r="D1877" s="559"/>
      <c r="E1877" s="559"/>
      <c r="F1877" s="559"/>
      <c r="G1877" s="558"/>
      <c r="H1877" s="559"/>
      <c r="I1877" s="559"/>
      <c r="J1877" s="559"/>
      <c r="K1877" s="560"/>
      <c r="L1877" s="560"/>
      <c r="M1877" s="560"/>
    </row>
    <row r="1878" spans="3:13" s="338" customFormat="1">
      <c r="C1878" s="558"/>
      <c r="D1878" s="559"/>
      <c r="E1878" s="559"/>
      <c r="F1878" s="559"/>
      <c r="G1878" s="558"/>
      <c r="H1878" s="559"/>
      <c r="I1878" s="559"/>
      <c r="J1878" s="559"/>
      <c r="K1878" s="560"/>
      <c r="L1878" s="560"/>
      <c r="M1878" s="560"/>
    </row>
    <row r="1879" spans="3:13" s="338" customFormat="1">
      <c r="C1879" s="558"/>
      <c r="D1879" s="559"/>
      <c r="E1879" s="559"/>
      <c r="F1879" s="559"/>
      <c r="G1879" s="558"/>
      <c r="H1879" s="559"/>
      <c r="I1879" s="559"/>
      <c r="J1879" s="559"/>
      <c r="K1879" s="560"/>
      <c r="L1879" s="560"/>
      <c r="M1879" s="560"/>
    </row>
    <row r="1880" spans="3:13" s="338" customFormat="1">
      <c r="C1880" s="558"/>
      <c r="D1880" s="559"/>
      <c r="E1880" s="559"/>
      <c r="F1880" s="559"/>
      <c r="G1880" s="558"/>
      <c r="H1880" s="559"/>
      <c r="I1880" s="559"/>
      <c r="J1880" s="559"/>
      <c r="K1880" s="560"/>
      <c r="L1880" s="560"/>
      <c r="M1880" s="560"/>
    </row>
    <row r="1881" spans="3:13" s="338" customFormat="1">
      <c r="C1881" s="558"/>
      <c r="D1881" s="559"/>
      <c r="E1881" s="559"/>
      <c r="F1881" s="559"/>
      <c r="G1881" s="558"/>
      <c r="H1881" s="559"/>
      <c r="I1881" s="559"/>
      <c r="J1881" s="559"/>
      <c r="K1881" s="560"/>
      <c r="L1881" s="560"/>
      <c r="M1881" s="560"/>
    </row>
    <row r="1882" spans="3:13" s="338" customFormat="1">
      <c r="C1882" s="558"/>
      <c r="D1882" s="559"/>
      <c r="E1882" s="559"/>
      <c r="F1882" s="559"/>
      <c r="G1882" s="558"/>
      <c r="H1882" s="559"/>
      <c r="I1882" s="559"/>
      <c r="J1882" s="559"/>
      <c r="K1882" s="560"/>
      <c r="L1882" s="560"/>
      <c r="M1882" s="560"/>
    </row>
    <row r="1883" spans="3:13" s="338" customFormat="1">
      <c r="C1883" s="558"/>
      <c r="D1883" s="559"/>
      <c r="E1883" s="559"/>
      <c r="F1883" s="559"/>
      <c r="G1883" s="558"/>
      <c r="H1883" s="559"/>
      <c r="I1883" s="559"/>
      <c r="J1883" s="559"/>
      <c r="K1883" s="560"/>
      <c r="L1883" s="560"/>
      <c r="M1883" s="560"/>
    </row>
    <row r="1884" spans="3:13" s="338" customFormat="1">
      <c r="C1884" s="558"/>
      <c r="D1884" s="559"/>
      <c r="E1884" s="559"/>
      <c r="F1884" s="559"/>
      <c r="G1884" s="558"/>
      <c r="H1884" s="559"/>
      <c r="I1884" s="559"/>
      <c r="J1884" s="559"/>
      <c r="K1884" s="560"/>
      <c r="L1884" s="560"/>
      <c r="M1884" s="560"/>
    </row>
    <row r="1885" spans="3:13" s="338" customFormat="1">
      <c r="C1885" s="558"/>
      <c r="D1885" s="559"/>
      <c r="E1885" s="559"/>
      <c r="F1885" s="559"/>
      <c r="G1885" s="558"/>
      <c r="H1885" s="559"/>
      <c r="I1885" s="559"/>
      <c r="J1885" s="559"/>
      <c r="K1885" s="560"/>
      <c r="L1885" s="560"/>
      <c r="M1885" s="560"/>
    </row>
    <row r="1886" spans="3:13" s="338" customFormat="1">
      <c r="C1886" s="558"/>
      <c r="D1886" s="559"/>
      <c r="E1886" s="559"/>
      <c r="F1886" s="559"/>
      <c r="G1886" s="558"/>
      <c r="H1886" s="559"/>
      <c r="I1886" s="559"/>
      <c r="J1886" s="559"/>
      <c r="K1886" s="560"/>
      <c r="L1886" s="560"/>
      <c r="M1886" s="560"/>
    </row>
    <row r="1887" spans="3:13" s="338" customFormat="1">
      <c r="C1887" s="558"/>
      <c r="D1887" s="559"/>
      <c r="E1887" s="559"/>
      <c r="F1887" s="559"/>
      <c r="G1887" s="558"/>
      <c r="H1887" s="559"/>
      <c r="I1887" s="559"/>
      <c r="J1887" s="559"/>
      <c r="K1887" s="560"/>
      <c r="L1887" s="560"/>
      <c r="M1887" s="560"/>
    </row>
    <row r="1888" spans="3:13" s="338" customFormat="1">
      <c r="C1888" s="558"/>
      <c r="D1888" s="559"/>
      <c r="E1888" s="559"/>
      <c r="F1888" s="559"/>
      <c r="G1888" s="558"/>
      <c r="H1888" s="559"/>
      <c r="I1888" s="559"/>
      <c r="J1888" s="559"/>
      <c r="K1888" s="560"/>
      <c r="L1888" s="560"/>
      <c r="M1888" s="560"/>
    </row>
    <row r="1889" spans="3:13" s="338" customFormat="1">
      <c r="C1889" s="558"/>
      <c r="D1889" s="559"/>
      <c r="E1889" s="559"/>
      <c r="F1889" s="559"/>
      <c r="G1889" s="558"/>
      <c r="H1889" s="559"/>
      <c r="I1889" s="559"/>
      <c r="J1889" s="559"/>
      <c r="K1889" s="560"/>
      <c r="L1889" s="560"/>
      <c r="M1889" s="560"/>
    </row>
    <row r="1890" spans="3:13" s="338" customFormat="1">
      <c r="C1890" s="558"/>
      <c r="D1890" s="559"/>
      <c r="E1890" s="559"/>
      <c r="F1890" s="559"/>
      <c r="G1890" s="558"/>
      <c r="H1890" s="559"/>
      <c r="I1890" s="559"/>
      <c r="J1890" s="559"/>
      <c r="K1890" s="560"/>
      <c r="L1890" s="560"/>
      <c r="M1890" s="560"/>
    </row>
    <row r="1891" spans="3:13" s="338" customFormat="1">
      <c r="C1891" s="558"/>
      <c r="D1891" s="559"/>
      <c r="E1891" s="559"/>
      <c r="F1891" s="559"/>
      <c r="G1891" s="558"/>
      <c r="H1891" s="559"/>
      <c r="I1891" s="559"/>
      <c r="J1891" s="559"/>
      <c r="K1891" s="560"/>
      <c r="L1891" s="560"/>
      <c r="M1891" s="560"/>
    </row>
    <row r="1892" spans="3:13" s="338" customFormat="1">
      <c r="C1892" s="558"/>
      <c r="D1892" s="559"/>
      <c r="E1892" s="559"/>
      <c r="F1892" s="559"/>
      <c r="G1892" s="558"/>
      <c r="H1892" s="559"/>
      <c r="I1892" s="559"/>
      <c r="J1892" s="559"/>
      <c r="K1892" s="560"/>
      <c r="L1892" s="560"/>
      <c r="M1892" s="560"/>
    </row>
    <row r="1893" spans="3:13" s="338" customFormat="1">
      <c r="C1893" s="558"/>
      <c r="D1893" s="559"/>
      <c r="E1893" s="559"/>
      <c r="F1893" s="559"/>
      <c r="G1893" s="558"/>
      <c r="H1893" s="559"/>
      <c r="I1893" s="559"/>
      <c r="J1893" s="559"/>
      <c r="K1893" s="560"/>
      <c r="L1893" s="560"/>
      <c r="M1893" s="560"/>
    </row>
    <row r="1894" spans="3:13" s="338" customFormat="1">
      <c r="C1894" s="558"/>
      <c r="D1894" s="559"/>
      <c r="E1894" s="559"/>
      <c r="F1894" s="559"/>
      <c r="G1894" s="558"/>
      <c r="H1894" s="559"/>
      <c r="I1894" s="559"/>
      <c r="J1894" s="559"/>
      <c r="K1894" s="560"/>
      <c r="L1894" s="560"/>
      <c r="M1894" s="560"/>
    </row>
    <row r="1895" spans="3:13" s="338" customFormat="1">
      <c r="C1895" s="558"/>
      <c r="D1895" s="559"/>
      <c r="E1895" s="559"/>
      <c r="F1895" s="559"/>
      <c r="G1895" s="558"/>
      <c r="H1895" s="559"/>
      <c r="I1895" s="559"/>
      <c r="J1895" s="559"/>
      <c r="K1895" s="560"/>
      <c r="L1895" s="560"/>
      <c r="M1895" s="560"/>
    </row>
    <row r="1896" spans="3:13" s="338" customFormat="1">
      <c r="C1896" s="558"/>
      <c r="D1896" s="559"/>
      <c r="E1896" s="559"/>
      <c r="F1896" s="559"/>
      <c r="G1896" s="558"/>
      <c r="H1896" s="559"/>
      <c r="I1896" s="559"/>
      <c r="J1896" s="559"/>
      <c r="K1896" s="560"/>
      <c r="L1896" s="560"/>
      <c r="M1896" s="560"/>
    </row>
    <row r="1897" spans="3:13" s="338" customFormat="1">
      <c r="C1897" s="558"/>
      <c r="D1897" s="559"/>
      <c r="E1897" s="559"/>
      <c r="F1897" s="559"/>
      <c r="G1897" s="558"/>
      <c r="H1897" s="559"/>
      <c r="I1897" s="559"/>
      <c r="J1897" s="559"/>
      <c r="K1897" s="560"/>
      <c r="L1897" s="560"/>
      <c r="M1897" s="560"/>
    </row>
    <row r="1898" spans="3:13" s="338" customFormat="1">
      <c r="C1898" s="558"/>
      <c r="D1898" s="559"/>
      <c r="E1898" s="559"/>
      <c r="F1898" s="559"/>
      <c r="G1898" s="558"/>
      <c r="H1898" s="559"/>
      <c r="I1898" s="559"/>
      <c r="J1898" s="559"/>
      <c r="K1898" s="560"/>
      <c r="L1898" s="560"/>
      <c r="M1898" s="560"/>
    </row>
    <row r="1899" spans="3:13" s="338" customFormat="1">
      <c r="C1899" s="558"/>
      <c r="D1899" s="559"/>
      <c r="E1899" s="559"/>
      <c r="F1899" s="559"/>
      <c r="G1899" s="558"/>
      <c r="H1899" s="559"/>
      <c r="I1899" s="559"/>
      <c r="J1899" s="559"/>
      <c r="K1899" s="560"/>
      <c r="L1899" s="560"/>
      <c r="M1899" s="560"/>
    </row>
    <row r="1900" spans="3:13" s="338" customFormat="1">
      <c r="C1900" s="558"/>
      <c r="D1900" s="559"/>
      <c r="E1900" s="559"/>
      <c r="F1900" s="559"/>
      <c r="G1900" s="558"/>
      <c r="H1900" s="559"/>
      <c r="I1900" s="559"/>
      <c r="J1900" s="559"/>
      <c r="K1900" s="560"/>
      <c r="L1900" s="560"/>
      <c r="M1900" s="560"/>
    </row>
    <row r="1901" spans="3:13" s="338" customFormat="1">
      <c r="C1901" s="558"/>
      <c r="D1901" s="559"/>
      <c r="E1901" s="559"/>
      <c r="F1901" s="559"/>
      <c r="G1901" s="558"/>
      <c r="H1901" s="559"/>
      <c r="I1901" s="559"/>
      <c r="J1901" s="559"/>
      <c r="K1901" s="560"/>
      <c r="L1901" s="560"/>
      <c r="M1901" s="560"/>
    </row>
    <row r="1902" spans="3:13" s="338" customFormat="1">
      <c r="C1902" s="558"/>
      <c r="D1902" s="559"/>
      <c r="E1902" s="559"/>
      <c r="F1902" s="559"/>
      <c r="G1902" s="558"/>
      <c r="H1902" s="559"/>
      <c r="I1902" s="559"/>
      <c r="J1902" s="559"/>
      <c r="K1902" s="560"/>
      <c r="L1902" s="560"/>
      <c r="M1902" s="560"/>
    </row>
    <row r="1903" spans="3:13" s="338" customFormat="1">
      <c r="C1903" s="558"/>
      <c r="D1903" s="559"/>
      <c r="E1903" s="559"/>
      <c r="F1903" s="559"/>
      <c r="G1903" s="558"/>
      <c r="H1903" s="559"/>
      <c r="I1903" s="559"/>
      <c r="J1903" s="559"/>
      <c r="K1903" s="560"/>
      <c r="L1903" s="560"/>
      <c r="M1903" s="560"/>
    </row>
    <row r="1904" spans="3:13" s="338" customFormat="1">
      <c r="C1904" s="558"/>
      <c r="D1904" s="559"/>
      <c r="E1904" s="559"/>
      <c r="F1904" s="559"/>
      <c r="G1904" s="558"/>
      <c r="H1904" s="559"/>
      <c r="I1904" s="559"/>
      <c r="J1904" s="559"/>
      <c r="K1904" s="560"/>
      <c r="L1904" s="560"/>
      <c r="M1904" s="560"/>
    </row>
    <row r="1905" spans="3:13" s="338" customFormat="1">
      <c r="C1905" s="558"/>
      <c r="D1905" s="559"/>
      <c r="E1905" s="559"/>
      <c r="F1905" s="559"/>
      <c r="G1905" s="558"/>
      <c r="H1905" s="559"/>
      <c r="I1905" s="559"/>
      <c r="J1905" s="559"/>
      <c r="K1905" s="560"/>
      <c r="L1905" s="560"/>
      <c r="M1905" s="560"/>
    </row>
    <row r="1906" spans="3:13" s="338" customFormat="1">
      <c r="C1906" s="558"/>
      <c r="D1906" s="559"/>
      <c r="E1906" s="559"/>
      <c r="F1906" s="559"/>
      <c r="G1906" s="558"/>
      <c r="H1906" s="559"/>
      <c r="I1906" s="559"/>
      <c r="J1906" s="559"/>
      <c r="K1906" s="560"/>
      <c r="L1906" s="560"/>
      <c r="M1906" s="560"/>
    </row>
    <row r="1907" spans="3:13" s="338" customFormat="1">
      <c r="C1907" s="558"/>
      <c r="D1907" s="559"/>
      <c r="E1907" s="559"/>
      <c r="F1907" s="559"/>
      <c r="G1907" s="558"/>
      <c r="H1907" s="559"/>
      <c r="I1907" s="559"/>
      <c r="J1907" s="559"/>
      <c r="K1907" s="560"/>
      <c r="L1907" s="560"/>
      <c r="M1907" s="560"/>
    </row>
    <row r="1908" spans="3:13" s="338" customFormat="1">
      <c r="C1908" s="558"/>
      <c r="D1908" s="559"/>
      <c r="E1908" s="559"/>
      <c r="F1908" s="559"/>
      <c r="G1908" s="558"/>
      <c r="H1908" s="559"/>
      <c r="I1908" s="559"/>
      <c r="J1908" s="559"/>
      <c r="K1908" s="560"/>
      <c r="L1908" s="560"/>
      <c r="M1908" s="560"/>
    </row>
    <row r="1909" spans="3:13" s="338" customFormat="1">
      <c r="C1909" s="558"/>
      <c r="D1909" s="559"/>
      <c r="E1909" s="559"/>
      <c r="F1909" s="559"/>
      <c r="G1909" s="558"/>
      <c r="H1909" s="559"/>
      <c r="I1909" s="559"/>
      <c r="J1909" s="559"/>
      <c r="K1909" s="560"/>
      <c r="L1909" s="560"/>
      <c r="M1909" s="560"/>
    </row>
    <row r="1910" spans="3:13" s="338" customFormat="1">
      <c r="C1910" s="558"/>
      <c r="D1910" s="559"/>
      <c r="E1910" s="559"/>
      <c r="F1910" s="559"/>
      <c r="G1910" s="558"/>
      <c r="H1910" s="559"/>
      <c r="I1910" s="559"/>
      <c r="J1910" s="559"/>
      <c r="K1910" s="560"/>
      <c r="L1910" s="560"/>
      <c r="M1910" s="560"/>
    </row>
    <row r="1911" spans="3:13" s="338" customFormat="1">
      <c r="C1911" s="558"/>
      <c r="D1911" s="559"/>
      <c r="E1911" s="559"/>
      <c r="F1911" s="559"/>
      <c r="G1911" s="558"/>
      <c r="H1911" s="559"/>
      <c r="I1911" s="559"/>
      <c r="J1911" s="559"/>
      <c r="K1911" s="560"/>
      <c r="L1911" s="560"/>
      <c r="M1911" s="560"/>
    </row>
    <row r="1912" spans="3:13" s="338" customFormat="1">
      <c r="C1912" s="558"/>
      <c r="D1912" s="559"/>
      <c r="E1912" s="559"/>
      <c r="F1912" s="559"/>
      <c r="G1912" s="558"/>
      <c r="H1912" s="559"/>
      <c r="I1912" s="559"/>
      <c r="J1912" s="559"/>
      <c r="K1912" s="560"/>
      <c r="L1912" s="560"/>
      <c r="M1912" s="560"/>
    </row>
    <row r="1913" spans="3:13" s="338" customFormat="1">
      <c r="C1913" s="558"/>
      <c r="D1913" s="559"/>
      <c r="E1913" s="559"/>
      <c r="F1913" s="559"/>
      <c r="G1913" s="558"/>
      <c r="H1913" s="559"/>
      <c r="I1913" s="559"/>
      <c r="J1913" s="559"/>
      <c r="K1913" s="560"/>
      <c r="L1913" s="560"/>
      <c r="M1913" s="560"/>
    </row>
    <row r="1914" spans="3:13" s="338" customFormat="1">
      <c r="C1914" s="558"/>
      <c r="D1914" s="559"/>
      <c r="E1914" s="559"/>
      <c r="F1914" s="559"/>
      <c r="G1914" s="558"/>
      <c r="H1914" s="559"/>
      <c r="I1914" s="559"/>
      <c r="J1914" s="559"/>
      <c r="K1914" s="560"/>
      <c r="L1914" s="560"/>
      <c r="M1914" s="560"/>
    </row>
    <row r="1915" spans="3:13" s="338" customFormat="1">
      <c r="C1915" s="558"/>
      <c r="D1915" s="559"/>
      <c r="E1915" s="559"/>
      <c r="F1915" s="559"/>
      <c r="G1915" s="558"/>
      <c r="H1915" s="559"/>
      <c r="I1915" s="559"/>
      <c r="J1915" s="559"/>
      <c r="K1915" s="560"/>
      <c r="L1915" s="560"/>
      <c r="M1915" s="560"/>
    </row>
    <row r="1916" spans="3:13" s="338" customFormat="1">
      <c r="C1916" s="558"/>
      <c r="D1916" s="559"/>
      <c r="E1916" s="559"/>
      <c r="F1916" s="559"/>
      <c r="G1916" s="558"/>
      <c r="H1916" s="559"/>
      <c r="I1916" s="559"/>
      <c r="J1916" s="559"/>
      <c r="K1916" s="560"/>
      <c r="L1916" s="560"/>
      <c r="M1916" s="560"/>
    </row>
    <row r="1917" spans="3:13" s="338" customFormat="1">
      <c r="C1917" s="558"/>
      <c r="D1917" s="559"/>
      <c r="E1917" s="559"/>
      <c r="F1917" s="559"/>
      <c r="G1917" s="558"/>
      <c r="H1917" s="559"/>
      <c r="I1917" s="559"/>
      <c r="J1917" s="559"/>
      <c r="K1917" s="560"/>
      <c r="L1917" s="560"/>
      <c r="M1917" s="560"/>
    </row>
    <row r="1918" spans="3:13" s="338" customFormat="1">
      <c r="C1918" s="558"/>
      <c r="D1918" s="559"/>
      <c r="E1918" s="559"/>
      <c r="F1918" s="559"/>
      <c r="G1918" s="558"/>
      <c r="H1918" s="559"/>
      <c r="I1918" s="559"/>
      <c r="J1918" s="559"/>
      <c r="K1918" s="560"/>
      <c r="L1918" s="560"/>
      <c r="M1918" s="560"/>
    </row>
    <row r="1919" spans="3:13" s="338" customFormat="1">
      <c r="C1919" s="558"/>
      <c r="D1919" s="559"/>
      <c r="E1919" s="559"/>
      <c r="F1919" s="559"/>
      <c r="G1919" s="558"/>
      <c r="H1919" s="559"/>
      <c r="I1919" s="559"/>
      <c r="J1919" s="559"/>
      <c r="K1919" s="560"/>
      <c r="L1919" s="560"/>
      <c r="M1919" s="560"/>
    </row>
    <row r="1920" spans="3:13" s="338" customFormat="1">
      <c r="C1920" s="558"/>
      <c r="D1920" s="559"/>
      <c r="E1920" s="559"/>
      <c r="F1920" s="559"/>
      <c r="G1920" s="558"/>
      <c r="H1920" s="559"/>
      <c r="I1920" s="559"/>
      <c r="J1920" s="559"/>
      <c r="K1920" s="560"/>
      <c r="L1920" s="560"/>
      <c r="M1920" s="560"/>
    </row>
    <row r="1921" spans="3:13" s="338" customFormat="1">
      <c r="C1921" s="558"/>
      <c r="D1921" s="559"/>
      <c r="E1921" s="559"/>
      <c r="F1921" s="559"/>
      <c r="G1921" s="558"/>
      <c r="H1921" s="559"/>
      <c r="I1921" s="559"/>
      <c r="J1921" s="559"/>
      <c r="K1921" s="560"/>
      <c r="L1921" s="560"/>
      <c r="M1921" s="560"/>
    </row>
    <row r="1922" spans="3:13" s="338" customFormat="1">
      <c r="C1922" s="558"/>
      <c r="D1922" s="559"/>
      <c r="E1922" s="559"/>
      <c r="F1922" s="559"/>
      <c r="G1922" s="558"/>
      <c r="H1922" s="559"/>
      <c r="I1922" s="559"/>
      <c r="J1922" s="559"/>
      <c r="K1922" s="560"/>
      <c r="L1922" s="560"/>
      <c r="M1922" s="560"/>
    </row>
    <row r="1923" spans="3:13" s="338" customFormat="1">
      <c r="C1923" s="558"/>
      <c r="D1923" s="559"/>
      <c r="E1923" s="559"/>
      <c r="F1923" s="559"/>
      <c r="G1923" s="558"/>
      <c r="H1923" s="559"/>
      <c r="I1923" s="559"/>
      <c r="J1923" s="559"/>
      <c r="K1923" s="560"/>
      <c r="L1923" s="560"/>
      <c r="M1923" s="560"/>
    </row>
    <row r="1924" spans="3:13" s="338" customFormat="1">
      <c r="C1924" s="558"/>
      <c r="D1924" s="559"/>
      <c r="E1924" s="559"/>
      <c r="F1924" s="559"/>
      <c r="G1924" s="558"/>
      <c r="H1924" s="559"/>
      <c r="I1924" s="559"/>
      <c r="J1924" s="559"/>
      <c r="K1924" s="560"/>
      <c r="L1924" s="560"/>
      <c r="M1924" s="560"/>
    </row>
    <row r="1925" spans="3:13" s="338" customFormat="1">
      <c r="C1925" s="558"/>
      <c r="D1925" s="559"/>
      <c r="E1925" s="559"/>
      <c r="F1925" s="559"/>
      <c r="G1925" s="558"/>
      <c r="H1925" s="559"/>
      <c r="I1925" s="559"/>
      <c r="J1925" s="559"/>
      <c r="K1925" s="560"/>
      <c r="L1925" s="560"/>
      <c r="M1925" s="560"/>
    </row>
    <row r="1926" spans="3:13" s="338" customFormat="1">
      <c r="C1926" s="558"/>
      <c r="D1926" s="559"/>
      <c r="E1926" s="559"/>
      <c r="F1926" s="559"/>
      <c r="G1926" s="558"/>
      <c r="H1926" s="559"/>
      <c r="I1926" s="559"/>
      <c r="J1926" s="559"/>
      <c r="K1926" s="560"/>
      <c r="L1926" s="560"/>
      <c r="M1926" s="560"/>
    </row>
    <row r="1927" spans="3:13" s="338" customFormat="1">
      <c r="C1927" s="558"/>
      <c r="D1927" s="559"/>
      <c r="E1927" s="559"/>
      <c r="F1927" s="559"/>
      <c r="G1927" s="558"/>
      <c r="H1927" s="559"/>
      <c r="I1927" s="559"/>
      <c r="J1927" s="559"/>
      <c r="K1927" s="560"/>
      <c r="L1927" s="560"/>
      <c r="M1927" s="560"/>
    </row>
    <row r="1928" spans="3:13" s="338" customFormat="1">
      <c r="C1928" s="558"/>
      <c r="D1928" s="559"/>
      <c r="E1928" s="559"/>
      <c r="F1928" s="559"/>
      <c r="G1928" s="558"/>
      <c r="H1928" s="559"/>
      <c r="I1928" s="559"/>
      <c r="J1928" s="559"/>
      <c r="K1928" s="560"/>
      <c r="L1928" s="560"/>
      <c r="M1928" s="560"/>
    </row>
    <row r="1929" spans="3:13" s="338" customFormat="1">
      <c r="C1929" s="558"/>
      <c r="D1929" s="559"/>
      <c r="E1929" s="559"/>
      <c r="F1929" s="559"/>
      <c r="G1929" s="558"/>
      <c r="H1929" s="559"/>
      <c r="I1929" s="559"/>
      <c r="J1929" s="559"/>
      <c r="K1929" s="560"/>
      <c r="L1929" s="560"/>
      <c r="M1929" s="560"/>
    </row>
    <row r="1930" spans="3:13" s="338" customFormat="1">
      <c r="C1930" s="558"/>
      <c r="D1930" s="559"/>
      <c r="E1930" s="559"/>
      <c r="F1930" s="559"/>
      <c r="G1930" s="558"/>
      <c r="H1930" s="559"/>
      <c r="I1930" s="559"/>
      <c r="J1930" s="559"/>
      <c r="K1930" s="560"/>
      <c r="L1930" s="560"/>
      <c r="M1930" s="560"/>
    </row>
    <row r="1931" spans="3:13" s="338" customFormat="1">
      <c r="C1931" s="558"/>
      <c r="D1931" s="559"/>
      <c r="E1931" s="559"/>
      <c r="F1931" s="559"/>
      <c r="G1931" s="558"/>
      <c r="H1931" s="559"/>
      <c r="I1931" s="559"/>
      <c r="J1931" s="559"/>
      <c r="K1931" s="560"/>
      <c r="L1931" s="560"/>
      <c r="M1931" s="560"/>
    </row>
    <row r="1932" spans="3:13" s="338" customFormat="1">
      <c r="C1932" s="558"/>
      <c r="D1932" s="559"/>
      <c r="E1932" s="559"/>
      <c r="F1932" s="559"/>
      <c r="G1932" s="558"/>
      <c r="H1932" s="559"/>
      <c r="I1932" s="559"/>
      <c r="J1932" s="559"/>
      <c r="K1932" s="560"/>
      <c r="L1932" s="560"/>
      <c r="M1932" s="560"/>
    </row>
    <row r="1933" spans="3:13" s="338" customFormat="1">
      <c r="C1933" s="558"/>
      <c r="D1933" s="559"/>
      <c r="E1933" s="559"/>
      <c r="F1933" s="559"/>
      <c r="G1933" s="558"/>
      <c r="H1933" s="559"/>
      <c r="I1933" s="559"/>
      <c r="J1933" s="559"/>
      <c r="K1933" s="560"/>
      <c r="L1933" s="560"/>
      <c r="M1933" s="560"/>
    </row>
    <row r="1934" spans="3:13" s="338" customFormat="1">
      <c r="C1934" s="558"/>
      <c r="D1934" s="559"/>
      <c r="E1934" s="559"/>
      <c r="F1934" s="559"/>
      <c r="G1934" s="558"/>
      <c r="H1934" s="559"/>
      <c r="I1934" s="559"/>
      <c r="J1934" s="559"/>
      <c r="K1934" s="560"/>
      <c r="L1934" s="560"/>
      <c r="M1934" s="560"/>
    </row>
    <row r="1935" spans="3:13" s="338" customFormat="1">
      <c r="C1935" s="558"/>
      <c r="D1935" s="559"/>
      <c r="E1935" s="559"/>
      <c r="F1935" s="559"/>
      <c r="G1935" s="558"/>
      <c r="H1935" s="559"/>
      <c r="I1935" s="559"/>
      <c r="J1935" s="559"/>
      <c r="K1935" s="560"/>
      <c r="L1935" s="560"/>
      <c r="M1935" s="560"/>
    </row>
    <row r="1936" spans="3:13" s="338" customFormat="1">
      <c r="C1936" s="558"/>
      <c r="D1936" s="559"/>
      <c r="E1936" s="559"/>
      <c r="F1936" s="559"/>
      <c r="G1936" s="558"/>
      <c r="H1936" s="559"/>
      <c r="I1936" s="559"/>
      <c r="J1936" s="559"/>
      <c r="K1936" s="560"/>
      <c r="L1936" s="560"/>
      <c r="M1936" s="560"/>
    </row>
    <row r="1937" spans="3:13" s="338" customFormat="1">
      <c r="C1937" s="558"/>
      <c r="D1937" s="559"/>
      <c r="E1937" s="559"/>
      <c r="F1937" s="559"/>
      <c r="G1937" s="558"/>
      <c r="H1937" s="559"/>
      <c r="I1937" s="559"/>
      <c r="J1937" s="559"/>
      <c r="K1937" s="560"/>
      <c r="L1937" s="560"/>
      <c r="M1937" s="560"/>
    </row>
    <row r="1938" spans="3:13" s="338" customFormat="1">
      <c r="C1938" s="558"/>
      <c r="D1938" s="559"/>
      <c r="E1938" s="559"/>
      <c r="F1938" s="559"/>
      <c r="G1938" s="558"/>
      <c r="H1938" s="559"/>
      <c r="I1938" s="559"/>
      <c r="J1938" s="559"/>
      <c r="K1938" s="560"/>
      <c r="L1938" s="560"/>
      <c r="M1938" s="560"/>
    </row>
    <row r="1939" spans="3:13" s="338" customFormat="1">
      <c r="C1939" s="558"/>
      <c r="D1939" s="559"/>
      <c r="E1939" s="559"/>
      <c r="F1939" s="559"/>
      <c r="G1939" s="558"/>
      <c r="H1939" s="559"/>
      <c r="I1939" s="559"/>
      <c r="J1939" s="559"/>
      <c r="K1939" s="560"/>
      <c r="L1939" s="560"/>
      <c r="M1939" s="560"/>
    </row>
    <row r="1940" spans="3:13" s="338" customFormat="1">
      <c r="C1940" s="558"/>
      <c r="D1940" s="559"/>
      <c r="E1940" s="559"/>
      <c r="F1940" s="559"/>
      <c r="G1940" s="558"/>
      <c r="H1940" s="559"/>
      <c r="I1940" s="559"/>
      <c r="J1940" s="559"/>
      <c r="K1940" s="560"/>
      <c r="L1940" s="560"/>
      <c r="M1940" s="560"/>
    </row>
    <row r="1941" spans="3:13" s="338" customFormat="1">
      <c r="C1941" s="558"/>
      <c r="D1941" s="559"/>
      <c r="E1941" s="559"/>
      <c r="F1941" s="559"/>
      <c r="G1941" s="558"/>
      <c r="H1941" s="559"/>
      <c r="I1941" s="559"/>
      <c r="J1941" s="559"/>
      <c r="K1941" s="560"/>
      <c r="L1941" s="560"/>
      <c r="M1941" s="560"/>
    </row>
    <row r="1942" spans="3:13" s="338" customFormat="1">
      <c r="C1942" s="558"/>
      <c r="D1942" s="559"/>
      <c r="E1942" s="559"/>
      <c r="F1942" s="559"/>
      <c r="G1942" s="558"/>
      <c r="H1942" s="559"/>
      <c r="I1942" s="559"/>
      <c r="J1942" s="559"/>
      <c r="K1942" s="560"/>
      <c r="L1942" s="560"/>
      <c r="M1942" s="560"/>
    </row>
    <row r="1943" spans="3:13" s="338" customFormat="1">
      <c r="C1943" s="558"/>
      <c r="D1943" s="559"/>
      <c r="E1943" s="559"/>
      <c r="F1943" s="559"/>
      <c r="G1943" s="558"/>
      <c r="H1943" s="559"/>
      <c r="I1943" s="559"/>
      <c r="J1943" s="559"/>
      <c r="K1943" s="560"/>
      <c r="L1943" s="560"/>
      <c r="M1943" s="560"/>
    </row>
    <row r="1944" spans="3:13" s="338" customFormat="1">
      <c r="C1944" s="558"/>
      <c r="D1944" s="559"/>
      <c r="E1944" s="559"/>
      <c r="F1944" s="559"/>
      <c r="G1944" s="558"/>
      <c r="H1944" s="559"/>
      <c r="I1944" s="559"/>
      <c r="J1944" s="559"/>
      <c r="K1944" s="560"/>
      <c r="L1944" s="560"/>
      <c r="M1944" s="560"/>
    </row>
    <row r="1945" spans="3:13" s="338" customFormat="1">
      <c r="C1945" s="558"/>
      <c r="D1945" s="559"/>
      <c r="E1945" s="559"/>
      <c r="F1945" s="559"/>
      <c r="G1945" s="558"/>
      <c r="H1945" s="559"/>
      <c r="I1945" s="559"/>
      <c r="J1945" s="559"/>
      <c r="K1945" s="560"/>
      <c r="L1945" s="560"/>
      <c r="M1945" s="560"/>
    </row>
    <row r="1946" spans="3:13" s="338" customFormat="1">
      <c r="C1946" s="558"/>
      <c r="D1946" s="559"/>
      <c r="E1946" s="559"/>
      <c r="F1946" s="559"/>
      <c r="G1946" s="558"/>
      <c r="H1946" s="559"/>
      <c r="I1946" s="559"/>
      <c r="J1946" s="559"/>
      <c r="K1946" s="560"/>
      <c r="L1946" s="560"/>
      <c r="M1946" s="560"/>
    </row>
    <row r="1947" spans="3:13" s="338" customFormat="1">
      <c r="C1947" s="558"/>
      <c r="D1947" s="559"/>
      <c r="E1947" s="559"/>
      <c r="F1947" s="559"/>
      <c r="G1947" s="558"/>
      <c r="H1947" s="559"/>
      <c r="I1947" s="559"/>
      <c r="J1947" s="559"/>
      <c r="K1947" s="560"/>
      <c r="L1947" s="560"/>
      <c r="M1947" s="560"/>
    </row>
    <row r="1948" spans="3:13" s="338" customFormat="1">
      <c r="C1948" s="558"/>
      <c r="D1948" s="559"/>
      <c r="E1948" s="559"/>
      <c r="F1948" s="559"/>
      <c r="G1948" s="558"/>
      <c r="H1948" s="559"/>
      <c r="I1948" s="559"/>
      <c r="J1948" s="559"/>
      <c r="K1948" s="560"/>
      <c r="L1948" s="560"/>
      <c r="M1948" s="560"/>
    </row>
    <row r="1949" spans="3:13" s="338" customFormat="1">
      <c r="C1949" s="558"/>
      <c r="D1949" s="559"/>
      <c r="E1949" s="559"/>
      <c r="F1949" s="559"/>
      <c r="G1949" s="558"/>
      <c r="H1949" s="559"/>
      <c r="I1949" s="559"/>
      <c r="J1949" s="559"/>
      <c r="K1949" s="560"/>
      <c r="L1949" s="560"/>
      <c r="M1949" s="560"/>
    </row>
    <row r="1950" spans="3:13" s="338" customFormat="1">
      <c r="C1950" s="558"/>
      <c r="D1950" s="559"/>
      <c r="E1950" s="559"/>
      <c r="F1950" s="559"/>
      <c r="G1950" s="558"/>
      <c r="H1950" s="559"/>
      <c r="I1950" s="559"/>
      <c r="J1950" s="559"/>
      <c r="K1950" s="560"/>
      <c r="L1950" s="560"/>
      <c r="M1950" s="560"/>
    </row>
    <row r="1951" spans="3:13" s="338" customFormat="1">
      <c r="C1951" s="558"/>
      <c r="D1951" s="559"/>
      <c r="E1951" s="559"/>
      <c r="F1951" s="559"/>
      <c r="G1951" s="558"/>
      <c r="H1951" s="559"/>
      <c r="I1951" s="559"/>
      <c r="J1951" s="559"/>
      <c r="K1951" s="560"/>
      <c r="L1951" s="560"/>
      <c r="M1951" s="560"/>
    </row>
    <row r="1952" spans="3:13" s="338" customFormat="1">
      <c r="C1952" s="558"/>
      <c r="D1952" s="559"/>
      <c r="E1952" s="559"/>
      <c r="F1952" s="559"/>
      <c r="G1952" s="558"/>
      <c r="H1952" s="559"/>
      <c r="I1952" s="559"/>
      <c r="J1952" s="559"/>
      <c r="K1952" s="560"/>
      <c r="L1952" s="560"/>
      <c r="M1952" s="560"/>
    </row>
    <row r="1953" spans="3:13" s="338" customFormat="1">
      <c r="C1953" s="558"/>
      <c r="D1953" s="559"/>
      <c r="E1953" s="559"/>
      <c r="F1953" s="559"/>
      <c r="G1953" s="558"/>
      <c r="H1953" s="559"/>
      <c r="I1953" s="559"/>
      <c r="J1953" s="559"/>
      <c r="K1953" s="560"/>
      <c r="L1953" s="560"/>
      <c r="M1953" s="560"/>
    </row>
    <row r="1954" spans="3:13" s="338" customFormat="1">
      <c r="C1954" s="558"/>
      <c r="D1954" s="559"/>
      <c r="E1954" s="559"/>
      <c r="F1954" s="559"/>
      <c r="G1954" s="558"/>
      <c r="H1954" s="559"/>
      <c r="I1954" s="559"/>
      <c r="J1954" s="559"/>
      <c r="K1954" s="560"/>
      <c r="L1954" s="560"/>
      <c r="M1954" s="560"/>
    </row>
    <row r="1955" spans="3:13" s="338" customFormat="1">
      <c r="C1955" s="558"/>
      <c r="D1955" s="559"/>
      <c r="E1955" s="559"/>
      <c r="F1955" s="559"/>
      <c r="G1955" s="558"/>
      <c r="H1955" s="559"/>
      <c r="I1955" s="559"/>
      <c r="J1955" s="559"/>
      <c r="K1955" s="560"/>
      <c r="L1955" s="560"/>
      <c r="M1955" s="560"/>
    </row>
    <row r="1956" spans="3:13" s="338" customFormat="1">
      <c r="C1956" s="558"/>
      <c r="D1956" s="559"/>
      <c r="E1956" s="559"/>
      <c r="F1956" s="559"/>
      <c r="G1956" s="558"/>
      <c r="H1956" s="559"/>
      <c r="I1956" s="559"/>
      <c r="J1956" s="559"/>
      <c r="K1956" s="560"/>
      <c r="L1956" s="560"/>
      <c r="M1956" s="560"/>
    </row>
    <row r="1957" spans="3:13" s="338" customFormat="1">
      <c r="C1957" s="558"/>
      <c r="D1957" s="559"/>
      <c r="E1957" s="559"/>
      <c r="F1957" s="559"/>
      <c r="G1957" s="558"/>
      <c r="H1957" s="559"/>
      <c r="I1957" s="559"/>
      <c r="J1957" s="559"/>
      <c r="K1957" s="560"/>
      <c r="L1957" s="560"/>
      <c r="M1957" s="560"/>
    </row>
    <row r="1958" spans="3:13" s="338" customFormat="1">
      <c r="C1958" s="558"/>
      <c r="D1958" s="559"/>
      <c r="E1958" s="559"/>
      <c r="F1958" s="559"/>
      <c r="G1958" s="558"/>
      <c r="H1958" s="559"/>
      <c r="I1958" s="559"/>
      <c r="J1958" s="559"/>
      <c r="K1958" s="560"/>
      <c r="L1958" s="560"/>
      <c r="M1958" s="560"/>
    </row>
    <row r="1959" spans="3:13" s="338" customFormat="1">
      <c r="C1959" s="558"/>
      <c r="D1959" s="559"/>
      <c r="E1959" s="559"/>
      <c r="F1959" s="559"/>
      <c r="G1959" s="558"/>
      <c r="H1959" s="559"/>
      <c r="I1959" s="559"/>
      <c r="J1959" s="559"/>
      <c r="K1959" s="560"/>
      <c r="L1959" s="560"/>
      <c r="M1959" s="560"/>
    </row>
    <row r="1960" spans="3:13" s="338" customFormat="1">
      <c r="C1960" s="558"/>
      <c r="D1960" s="559"/>
      <c r="E1960" s="559"/>
      <c r="F1960" s="559"/>
      <c r="G1960" s="558"/>
      <c r="H1960" s="559"/>
      <c r="I1960" s="559"/>
      <c r="J1960" s="559"/>
      <c r="K1960" s="560"/>
      <c r="L1960" s="560"/>
      <c r="M1960" s="560"/>
    </row>
    <row r="1961" spans="3:13" s="338" customFormat="1">
      <c r="C1961" s="558"/>
      <c r="D1961" s="559"/>
      <c r="E1961" s="559"/>
      <c r="F1961" s="559"/>
      <c r="G1961" s="558"/>
      <c r="H1961" s="559"/>
      <c r="I1961" s="559"/>
      <c r="J1961" s="559"/>
      <c r="K1961" s="560"/>
      <c r="L1961" s="560"/>
      <c r="M1961" s="560"/>
    </row>
    <row r="1962" spans="3:13" s="338" customFormat="1">
      <c r="C1962" s="558"/>
      <c r="D1962" s="559"/>
      <c r="E1962" s="559"/>
      <c r="F1962" s="559"/>
      <c r="G1962" s="558"/>
      <c r="H1962" s="559"/>
      <c r="I1962" s="559"/>
      <c r="J1962" s="559"/>
      <c r="K1962" s="560"/>
      <c r="L1962" s="560"/>
      <c r="M1962" s="560"/>
    </row>
    <row r="1963" spans="3:13" s="338" customFormat="1">
      <c r="C1963" s="558"/>
      <c r="D1963" s="559"/>
      <c r="E1963" s="559"/>
      <c r="F1963" s="559"/>
      <c r="G1963" s="558"/>
      <c r="H1963" s="559"/>
      <c r="I1963" s="559"/>
      <c r="J1963" s="559"/>
      <c r="K1963" s="560"/>
      <c r="L1963" s="560"/>
      <c r="M1963" s="560"/>
    </row>
    <row r="1964" spans="3:13" s="338" customFormat="1">
      <c r="C1964" s="558"/>
      <c r="D1964" s="559"/>
      <c r="E1964" s="559"/>
      <c r="F1964" s="559"/>
      <c r="G1964" s="558"/>
      <c r="H1964" s="559"/>
      <c r="I1964" s="559"/>
      <c r="J1964" s="559"/>
      <c r="K1964" s="560"/>
      <c r="L1964" s="560"/>
      <c r="M1964" s="560"/>
    </row>
    <row r="1965" spans="3:13" s="338" customFormat="1">
      <c r="C1965" s="558"/>
      <c r="D1965" s="559"/>
      <c r="E1965" s="559"/>
      <c r="F1965" s="559"/>
      <c r="G1965" s="558"/>
      <c r="H1965" s="559"/>
      <c r="I1965" s="559"/>
      <c r="J1965" s="559"/>
      <c r="K1965" s="560"/>
      <c r="L1965" s="560"/>
      <c r="M1965" s="560"/>
    </row>
    <row r="1966" spans="3:13" s="338" customFormat="1">
      <c r="C1966" s="558"/>
      <c r="D1966" s="559"/>
      <c r="E1966" s="559"/>
      <c r="F1966" s="559"/>
      <c r="G1966" s="558"/>
      <c r="H1966" s="559"/>
      <c r="I1966" s="559"/>
      <c r="J1966" s="559"/>
      <c r="K1966" s="560"/>
      <c r="L1966" s="560"/>
      <c r="M1966" s="560"/>
    </row>
    <row r="1967" spans="3:13" s="338" customFormat="1">
      <c r="C1967" s="558"/>
      <c r="D1967" s="559"/>
      <c r="E1967" s="559"/>
      <c r="F1967" s="559"/>
      <c r="G1967" s="558"/>
      <c r="H1967" s="559"/>
      <c r="I1967" s="559"/>
      <c r="J1967" s="559"/>
      <c r="K1967" s="560"/>
      <c r="L1967" s="560"/>
      <c r="M1967" s="560"/>
    </row>
    <row r="1968" spans="3:13" s="338" customFormat="1">
      <c r="C1968" s="558"/>
      <c r="D1968" s="559"/>
      <c r="E1968" s="559"/>
      <c r="F1968" s="559"/>
      <c r="G1968" s="558"/>
      <c r="H1968" s="559"/>
      <c r="I1968" s="559"/>
      <c r="J1968" s="559"/>
      <c r="K1968" s="560"/>
      <c r="L1968" s="560"/>
      <c r="M1968" s="560"/>
    </row>
    <row r="1969" spans="3:13" s="338" customFormat="1">
      <c r="C1969" s="558"/>
      <c r="D1969" s="559"/>
      <c r="E1969" s="559"/>
      <c r="F1969" s="559"/>
      <c r="G1969" s="558"/>
      <c r="H1969" s="559"/>
      <c r="I1969" s="559"/>
      <c r="J1969" s="559"/>
      <c r="K1969" s="560"/>
      <c r="L1969" s="560"/>
      <c r="M1969" s="560"/>
    </row>
    <row r="1970" spans="3:13" s="338" customFormat="1">
      <c r="C1970" s="558"/>
      <c r="D1970" s="559"/>
      <c r="E1970" s="559"/>
      <c r="F1970" s="559"/>
      <c r="G1970" s="558"/>
      <c r="H1970" s="559"/>
      <c r="I1970" s="559"/>
      <c r="J1970" s="559"/>
      <c r="K1970" s="560"/>
      <c r="L1970" s="560"/>
      <c r="M1970" s="560"/>
    </row>
    <row r="1971" spans="3:13" s="338" customFormat="1">
      <c r="C1971" s="558"/>
      <c r="D1971" s="559"/>
      <c r="E1971" s="559"/>
      <c r="F1971" s="559"/>
      <c r="G1971" s="558"/>
      <c r="H1971" s="559"/>
      <c r="I1971" s="559"/>
      <c r="J1971" s="559"/>
      <c r="K1971" s="560"/>
      <c r="L1971" s="560"/>
      <c r="M1971" s="560"/>
    </row>
    <row r="1972" spans="3:13" s="338" customFormat="1">
      <c r="C1972" s="558"/>
      <c r="D1972" s="559"/>
      <c r="E1972" s="559"/>
      <c r="F1972" s="559"/>
      <c r="G1972" s="558"/>
      <c r="H1972" s="559"/>
      <c r="I1972" s="559"/>
      <c r="J1972" s="559"/>
      <c r="K1972" s="560"/>
      <c r="L1972" s="560"/>
      <c r="M1972" s="560"/>
    </row>
    <row r="1973" spans="3:13" s="338" customFormat="1">
      <c r="C1973" s="558"/>
      <c r="D1973" s="559"/>
      <c r="E1973" s="559"/>
      <c r="F1973" s="559"/>
      <c r="G1973" s="558"/>
      <c r="H1973" s="559"/>
      <c r="I1973" s="559"/>
      <c r="J1973" s="559"/>
      <c r="K1973" s="560"/>
      <c r="L1973" s="560"/>
      <c r="M1973" s="560"/>
    </row>
    <row r="1974" spans="3:13" s="338" customFormat="1">
      <c r="C1974" s="558"/>
      <c r="D1974" s="559"/>
      <c r="E1974" s="559"/>
      <c r="F1974" s="559"/>
      <c r="G1974" s="558"/>
      <c r="H1974" s="559"/>
      <c r="I1974" s="559"/>
      <c r="J1974" s="559"/>
      <c r="K1974" s="560"/>
      <c r="L1974" s="560"/>
      <c r="M1974" s="560"/>
    </row>
    <row r="1975" spans="3:13" s="338" customFormat="1">
      <c r="C1975" s="558"/>
      <c r="D1975" s="559"/>
      <c r="E1975" s="559"/>
      <c r="F1975" s="559"/>
      <c r="G1975" s="558"/>
      <c r="H1975" s="559"/>
      <c r="I1975" s="559"/>
      <c r="J1975" s="559"/>
      <c r="K1975" s="560"/>
      <c r="L1975" s="560"/>
      <c r="M1975" s="560"/>
    </row>
    <row r="1976" spans="3:13" s="338" customFormat="1">
      <c r="C1976" s="558"/>
      <c r="D1976" s="559"/>
      <c r="E1976" s="559"/>
      <c r="F1976" s="559"/>
      <c r="G1976" s="558"/>
      <c r="H1976" s="559"/>
      <c r="I1976" s="559"/>
      <c r="J1976" s="559"/>
      <c r="K1976" s="560"/>
      <c r="L1976" s="560"/>
      <c r="M1976" s="560"/>
    </row>
    <row r="1977" spans="3:13" s="338" customFormat="1">
      <c r="C1977" s="558"/>
      <c r="D1977" s="559"/>
      <c r="E1977" s="559"/>
      <c r="F1977" s="559"/>
      <c r="G1977" s="558"/>
      <c r="H1977" s="559"/>
      <c r="I1977" s="559"/>
      <c r="J1977" s="559"/>
      <c r="K1977" s="560"/>
      <c r="L1977" s="560"/>
      <c r="M1977" s="560"/>
    </row>
    <row r="1978" spans="3:13" s="338" customFormat="1">
      <c r="C1978" s="558"/>
      <c r="D1978" s="559"/>
      <c r="E1978" s="559"/>
      <c r="F1978" s="559"/>
      <c r="G1978" s="558"/>
      <c r="H1978" s="559"/>
      <c r="I1978" s="559"/>
      <c r="J1978" s="559"/>
      <c r="K1978" s="560"/>
      <c r="L1978" s="560"/>
      <c r="M1978" s="560"/>
    </row>
    <row r="1979" spans="3:13" s="338" customFormat="1">
      <c r="C1979" s="558"/>
      <c r="D1979" s="559"/>
      <c r="E1979" s="559"/>
      <c r="F1979" s="559"/>
      <c r="G1979" s="558"/>
      <c r="H1979" s="559"/>
      <c r="I1979" s="559"/>
      <c r="J1979" s="559"/>
      <c r="K1979" s="560"/>
      <c r="L1979" s="560"/>
      <c r="M1979" s="560"/>
    </row>
    <row r="1980" spans="3:13" s="338" customFormat="1">
      <c r="C1980" s="558"/>
      <c r="D1980" s="559"/>
      <c r="E1980" s="559"/>
      <c r="F1980" s="559"/>
      <c r="G1980" s="558"/>
      <c r="H1980" s="559"/>
      <c r="I1980" s="559"/>
      <c r="J1980" s="559"/>
      <c r="K1980" s="560"/>
      <c r="L1980" s="560"/>
      <c r="M1980" s="560"/>
    </row>
    <row r="1981" spans="3:13" s="338" customFormat="1">
      <c r="C1981" s="558"/>
      <c r="D1981" s="559"/>
      <c r="E1981" s="559"/>
      <c r="F1981" s="559"/>
      <c r="G1981" s="558"/>
      <c r="H1981" s="559"/>
      <c r="I1981" s="559"/>
      <c r="J1981" s="559"/>
      <c r="K1981" s="560"/>
      <c r="L1981" s="560"/>
      <c r="M1981" s="560"/>
    </row>
    <row r="1982" spans="3:13" s="338" customFormat="1">
      <c r="C1982" s="558"/>
      <c r="D1982" s="559"/>
      <c r="E1982" s="559"/>
      <c r="F1982" s="559"/>
      <c r="G1982" s="558"/>
      <c r="H1982" s="559"/>
      <c r="I1982" s="559"/>
      <c r="J1982" s="559"/>
      <c r="K1982" s="560"/>
      <c r="L1982" s="560"/>
      <c r="M1982" s="560"/>
    </row>
    <row r="1983" spans="3:13" s="338" customFormat="1">
      <c r="C1983" s="558"/>
      <c r="D1983" s="559"/>
      <c r="E1983" s="559"/>
      <c r="F1983" s="559"/>
      <c r="G1983" s="558"/>
      <c r="H1983" s="559"/>
      <c r="I1983" s="559"/>
      <c r="J1983" s="559"/>
      <c r="K1983" s="560"/>
      <c r="L1983" s="560"/>
      <c r="M1983" s="560"/>
    </row>
    <row r="1984" spans="3:13" s="338" customFormat="1">
      <c r="C1984" s="558"/>
      <c r="D1984" s="559"/>
      <c r="E1984" s="559"/>
      <c r="F1984" s="559"/>
      <c r="G1984" s="558"/>
      <c r="H1984" s="559"/>
      <c r="I1984" s="559"/>
      <c r="J1984" s="559"/>
      <c r="K1984" s="560"/>
      <c r="L1984" s="560"/>
      <c r="M1984" s="560"/>
    </row>
    <row r="1985" spans="3:13" s="338" customFormat="1">
      <c r="C1985" s="558"/>
      <c r="D1985" s="559"/>
      <c r="E1985" s="559"/>
      <c r="F1985" s="559"/>
      <c r="G1985" s="558"/>
      <c r="H1985" s="559"/>
      <c r="I1985" s="559"/>
      <c r="J1985" s="559"/>
      <c r="K1985" s="560"/>
      <c r="L1985" s="560"/>
      <c r="M1985" s="560"/>
    </row>
    <row r="1986" spans="3:13" s="338" customFormat="1">
      <c r="C1986" s="558"/>
      <c r="D1986" s="559"/>
      <c r="E1986" s="559"/>
      <c r="F1986" s="559"/>
      <c r="G1986" s="558"/>
      <c r="H1986" s="559"/>
      <c r="I1986" s="559"/>
      <c r="J1986" s="559"/>
      <c r="K1986" s="560"/>
      <c r="L1986" s="560"/>
      <c r="M1986" s="560"/>
    </row>
    <row r="1987" spans="3:13" s="338" customFormat="1">
      <c r="C1987" s="558"/>
      <c r="D1987" s="559"/>
      <c r="E1987" s="559"/>
      <c r="F1987" s="559"/>
      <c r="G1987" s="558"/>
      <c r="H1987" s="559"/>
      <c r="I1987" s="559"/>
      <c r="J1987" s="559"/>
      <c r="K1987" s="560"/>
      <c r="L1987" s="560"/>
      <c r="M1987" s="560"/>
    </row>
    <row r="1988" spans="3:13" s="338" customFormat="1">
      <c r="C1988" s="558"/>
      <c r="D1988" s="559"/>
      <c r="E1988" s="559"/>
      <c r="F1988" s="559"/>
      <c r="G1988" s="558"/>
      <c r="H1988" s="559"/>
      <c r="I1988" s="559"/>
      <c r="J1988" s="559"/>
      <c r="K1988" s="560"/>
      <c r="L1988" s="560"/>
      <c r="M1988" s="560"/>
    </row>
    <row r="1989" spans="3:13" s="338" customFormat="1">
      <c r="C1989" s="558"/>
      <c r="D1989" s="559"/>
      <c r="E1989" s="559"/>
      <c r="F1989" s="559"/>
      <c r="G1989" s="558"/>
      <c r="H1989" s="559"/>
      <c r="I1989" s="559"/>
      <c r="J1989" s="559"/>
      <c r="K1989" s="560"/>
      <c r="L1989" s="560"/>
      <c r="M1989" s="560"/>
    </row>
    <row r="1990" spans="3:13" s="338" customFormat="1">
      <c r="C1990" s="558"/>
      <c r="D1990" s="559"/>
      <c r="E1990" s="559"/>
      <c r="F1990" s="559"/>
      <c r="G1990" s="558"/>
      <c r="H1990" s="559"/>
      <c r="I1990" s="559"/>
      <c r="J1990" s="559"/>
      <c r="K1990" s="560"/>
      <c r="L1990" s="560"/>
      <c r="M1990" s="560"/>
    </row>
    <row r="1991" spans="3:13" s="338" customFormat="1">
      <c r="C1991" s="558"/>
      <c r="D1991" s="559"/>
      <c r="E1991" s="559"/>
      <c r="F1991" s="559"/>
      <c r="G1991" s="558"/>
      <c r="H1991" s="559"/>
      <c r="I1991" s="559"/>
      <c r="J1991" s="559"/>
      <c r="K1991" s="560"/>
      <c r="L1991" s="560"/>
      <c r="M1991" s="560"/>
    </row>
    <row r="1992" spans="3:13" s="338" customFormat="1">
      <c r="C1992" s="558"/>
      <c r="D1992" s="559"/>
      <c r="E1992" s="559"/>
      <c r="F1992" s="559"/>
      <c r="G1992" s="558"/>
      <c r="H1992" s="559"/>
      <c r="I1992" s="559"/>
      <c r="J1992" s="559"/>
      <c r="K1992" s="560"/>
      <c r="L1992" s="560"/>
      <c r="M1992" s="560"/>
    </row>
    <row r="1993" spans="3:13" s="338" customFormat="1">
      <c r="C1993" s="558"/>
      <c r="D1993" s="559"/>
      <c r="E1993" s="559"/>
      <c r="F1993" s="559"/>
      <c r="G1993" s="558"/>
      <c r="H1993" s="559"/>
      <c r="I1993" s="559"/>
      <c r="J1993" s="559"/>
      <c r="K1993" s="560"/>
      <c r="L1993" s="560"/>
      <c r="M1993" s="560"/>
    </row>
    <row r="1994" spans="3:13" s="338" customFormat="1">
      <c r="C1994" s="558"/>
      <c r="D1994" s="559"/>
      <c r="E1994" s="559"/>
      <c r="F1994" s="559"/>
      <c r="G1994" s="558"/>
      <c r="H1994" s="559"/>
      <c r="I1994" s="559"/>
      <c r="J1994" s="559"/>
      <c r="K1994" s="560"/>
      <c r="L1994" s="560"/>
      <c r="M1994" s="560"/>
    </row>
    <row r="1995" spans="3:13" s="338" customFormat="1">
      <c r="C1995" s="558"/>
      <c r="D1995" s="559"/>
      <c r="E1995" s="559"/>
      <c r="F1995" s="559"/>
      <c r="G1995" s="558"/>
      <c r="H1995" s="559"/>
      <c r="I1995" s="559"/>
      <c r="J1995" s="559"/>
      <c r="K1995" s="560"/>
      <c r="L1995" s="560"/>
      <c r="M1995" s="560"/>
    </row>
    <row r="1996" spans="3:13" s="338" customFormat="1">
      <c r="C1996" s="558"/>
      <c r="D1996" s="559"/>
      <c r="E1996" s="559"/>
      <c r="F1996" s="559"/>
      <c r="G1996" s="558"/>
      <c r="H1996" s="559"/>
      <c r="I1996" s="559"/>
      <c r="J1996" s="559"/>
      <c r="K1996" s="560"/>
      <c r="L1996" s="560"/>
      <c r="M1996" s="560"/>
    </row>
    <row r="1997" spans="3:13" s="338" customFormat="1">
      <c r="C1997" s="558"/>
      <c r="D1997" s="559"/>
      <c r="E1997" s="559"/>
      <c r="F1997" s="559"/>
      <c r="G1997" s="558"/>
      <c r="H1997" s="559"/>
      <c r="I1997" s="559"/>
      <c r="J1997" s="559"/>
      <c r="K1997" s="560"/>
      <c r="L1997" s="560"/>
      <c r="M1997" s="560"/>
    </row>
    <row r="1998" spans="3:13" s="338" customFormat="1">
      <c r="C1998" s="558"/>
      <c r="D1998" s="559"/>
      <c r="E1998" s="559"/>
      <c r="F1998" s="559"/>
      <c r="G1998" s="558"/>
      <c r="H1998" s="559"/>
      <c r="I1998" s="559"/>
      <c r="J1998" s="559"/>
      <c r="K1998" s="560"/>
      <c r="L1998" s="560"/>
      <c r="M1998" s="560"/>
    </row>
    <row r="1999" spans="3:13" s="338" customFormat="1">
      <c r="C1999" s="558"/>
      <c r="D1999" s="559"/>
      <c r="E1999" s="559"/>
      <c r="F1999" s="559"/>
      <c r="G1999" s="558"/>
      <c r="H1999" s="559"/>
      <c r="I1999" s="559"/>
      <c r="J1999" s="559"/>
      <c r="K1999" s="560"/>
      <c r="L1999" s="560"/>
      <c r="M1999" s="560"/>
    </row>
    <row r="2000" spans="3:13" s="338" customFormat="1">
      <c r="C2000" s="558"/>
      <c r="D2000" s="559"/>
      <c r="E2000" s="559"/>
      <c r="F2000" s="559"/>
      <c r="G2000" s="558"/>
      <c r="H2000" s="559"/>
      <c r="I2000" s="559"/>
      <c r="J2000" s="559"/>
      <c r="K2000" s="560"/>
      <c r="L2000" s="560"/>
      <c r="M2000" s="560"/>
    </row>
    <row r="2001" spans="3:13" s="338" customFormat="1">
      <c r="C2001" s="558"/>
      <c r="D2001" s="559"/>
      <c r="E2001" s="559"/>
      <c r="F2001" s="559"/>
      <c r="G2001" s="558"/>
      <c r="H2001" s="559"/>
      <c r="I2001" s="559"/>
      <c r="J2001" s="559"/>
      <c r="K2001" s="560"/>
      <c r="L2001" s="560"/>
      <c r="M2001" s="560"/>
    </row>
    <row r="2002" spans="3:13" s="338" customFormat="1">
      <c r="C2002" s="558"/>
      <c r="D2002" s="559"/>
      <c r="E2002" s="559"/>
      <c r="F2002" s="559"/>
      <c r="G2002" s="558"/>
      <c r="H2002" s="559"/>
      <c r="I2002" s="559"/>
      <c r="J2002" s="559"/>
      <c r="K2002" s="560"/>
      <c r="L2002" s="560"/>
      <c r="M2002" s="560"/>
    </row>
    <row r="2003" spans="3:13" s="338" customFormat="1">
      <c r="C2003" s="558"/>
      <c r="D2003" s="559"/>
      <c r="E2003" s="559"/>
      <c r="F2003" s="559"/>
      <c r="G2003" s="558"/>
      <c r="H2003" s="559"/>
      <c r="I2003" s="559"/>
      <c r="J2003" s="559"/>
      <c r="K2003" s="560"/>
      <c r="L2003" s="560"/>
      <c r="M2003" s="560"/>
    </row>
    <row r="2004" spans="3:13" s="338" customFormat="1">
      <c r="C2004" s="558"/>
      <c r="D2004" s="559"/>
      <c r="E2004" s="559"/>
      <c r="F2004" s="559"/>
      <c r="G2004" s="558"/>
      <c r="H2004" s="559"/>
      <c r="I2004" s="559"/>
      <c r="J2004" s="559"/>
      <c r="K2004" s="560"/>
      <c r="L2004" s="560"/>
      <c r="M2004" s="560"/>
    </row>
    <row r="2005" spans="3:13" s="338" customFormat="1">
      <c r="C2005" s="558"/>
      <c r="D2005" s="559"/>
      <c r="E2005" s="559"/>
      <c r="F2005" s="559"/>
      <c r="G2005" s="558"/>
      <c r="H2005" s="559"/>
      <c r="I2005" s="559"/>
      <c r="J2005" s="559"/>
      <c r="K2005" s="560"/>
      <c r="L2005" s="560"/>
      <c r="M2005" s="560"/>
    </row>
    <row r="2006" spans="3:13" s="338" customFormat="1">
      <c r="C2006" s="558"/>
      <c r="D2006" s="559"/>
      <c r="E2006" s="559"/>
      <c r="F2006" s="559"/>
      <c r="G2006" s="558"/>
      <c r="H2006" s="559"/>
      <c r="I2006" s="559"/>
      <c r="J2006" s="559"/>
      <c r="K2006" s="560"/>
      <c r="L2006" s="560"/>
      <c r="M2006" s="560"/>
    </row>
    <row r="2007" spans="3:13" s="338" customFormat="1">
      <c r="C2007" s="558"/>
      <c r="D2007" s="559"/>
      <c r="E2007" s="559"/>
      <c r="F2007" s="559"/>
      <c r="G2007" s="558"/>
      <c r="H2007" s="559"/>
      <c r="I2007" s="559"/>
      <c r="J2007" s="559"/>
      <c r="K2007" s="560"/>
      <c r="L2007" s="560"/>
      <c r="M2007" s="560"/>
    </row>
    <row r="2008" spans="3:13" s="338" customFormat="1">
      <c r="C2008" s="558"/>
      <c r="D2008" s="559"/>
      <c r="E2008" s="559"/>
      <c r="F2008" s="559"/>
      <c r="G2008" s="558"/>
      <c r="H2008" s="559"/>
      <c r="I2008" s="559"/>
      <c r="J2008" s="559"/>
      <c r="K2008" s="560"/>
      <c r="L2008" s="560"/>
      <c r="M2008" s="560"/>
    </row>
    <row r="2009" spans="3:13" s="338" customFormat="1">
      <c r="C2009" s="558"/>
      <c r="D2009" s="559"/>
      <c r="E2009" s="559"/>
      <c r="F2009" s="559"/>
      <c r="G2009" s="558"/>
      <c r="H2009" s="559"/>
      <c r="I2009" s="559"/>
      <c r="J2009" s="559"/>
      <c r="K2009" s="560"/>
      <c r="L2009" s="560"/>
      <c r="M2009" s="560"/>
    </row>
    <row r="2010" spans="3:13" s="338" customFormat="1">
      <c r="C2010" s="558"/>
      <c r="D2010" s="559"/>
      <c r="E2010" s="559"/>
      <c r="F2010" s="559"/>
      <c r="G2010" s="558"/>
      <c r="H2010" s="559"/>
      <c r="I2010" s="559"/>
      <c r="J2010" s="559"/>
      <c r="K2010" s="560"/>
      <c r="L2010" s="560"/>
      <c r="M2010" s="560"/>
    </row>
    <row r="2011" spans="3:13" s="338" customFormat="1">
      <c r="C2011" s="558"/>
      <c r="D2011" s="559"/>
      <c r="E2011" s="559"/>
      <c r="F2011" s="559"/>
      <c r="G2011" s="558"/>
      <c r="H2011" s="559"/>
      <c r="I2011" s="559"/>
      <c r="J2011" s="559"/>
      <c r="K2011" s="560"/>
      <c r="L2011" s="560"/>
      <c r="M2011" s="560"/>
    </row>
    <row r="2012" spans="3:13" s="338" customFormat="1">
      <c r="C2012" s="558"/>
      <c r="D2012" s="559"/>
      <c r="E2012" s="559"/>
      <c r="F2012" s="559"/>
      <c r="G2012" s="558"/>
      <c r="H2012" s="559"/>
      <c r="I2012" s="559"/>
      <c r="J2012" s="559"/>
      <c r="K2012" s="560"/>
      <c r="L2012" s="560"/>
      <c r="M2012" s="560"/>
    </row>
    <row r="2013" spans="3:13" s="338" customFormat="1">
      <c r="C2013" s="558"/>
      <c r="D2013" s="559"/>
      <c r="E2013" s="559"/>
      <c r="F2013" s="559"/>
      <c r="G2013" s="558"/>
      <c r="H2013" s="559"/>
      <c r="I2013" s="559"/>
      <c r="J2013" s="559"/>
      <c r="K2013" s="560"/>
      <c r="L2013" s="560"/>
      <c r="M2013" s="560"/>
    </row>
    <row r="2014" spans="3:13" s="338" customFormat="1">
      <c r="C2014" s="558"/>
      <c r="D2014" s="559"/>
      <c r="E2014" s="559"/>
      <c r="F2014" s="559"/>
      <c r="G2014" s="558"/>
      <c r="H2014" s="559"/>
      <c r="I2014" s="559"/>
      <c r="J2014" s="559"/>
      <c r="K2014" s="560"/>
      <c r="L2014" s="560"/>
      <c r="M2014" s="560"/>
    </row>
    <row r="2015" spans="3:13" s="338" customFormat="1">
      <c r="C2015" s="558"/>
      <c r="D2015" s="559"/>
      <c r="E2015" s="559"/>
      <c r="F2015" s="559"/>
      <c r="G2015" s="558"/>
      <c r="H2015" s="559"/>
      <c r="I2015" s="559"/>
      <c r="J2015" s="559"/>
      <c r="K2015" s="560"/>
      <c r="L2015" s="560"/>
      <c r="M2015" s="560"/>
    </row>
    <row r="2016" spans="3:13" s="338" customFormat="1">
      <c r="C2016" s="558"/>
      <c r="D2016" s="559"/>
      <c r="E2016" s="559"/>
      <c r="F2016" s="559"/>
      <c r="G2016" s="558"/>
      <c r="H2016" s="559"/>
      <c r="I2016" s="559"/>
      <c r="J2016" s="559"/>
      <c r="K2016" s="560"/>
      <c r="L2016" s="560"/>
      <c r="M2016" s="560"/>
    </row>
    <row r="2017" spans="3:13" s="338" customFormat="1">
      <c r="C2017" s="558"/>
      <c r="D2017" s="559"/>
      <c r="E2017" s="559"/>
      <c r="F2017" s="559"/>
      <c r="G2017" s="558"/>
      <c r="H2017" s="559"/>
      <c r="I2017" s="559"/>
      <c r="J2017" s="559"/>
      <c r="K2017" s="560"/>
      <c r="L2017" s="560"/>
      <c r="M2017" s="560"/>
    </row>
    <row r="2018" spans="3:13" s="338" customFormat="1">
      <c r="C2018" s="558"/>
      <c r="D2018" s="559"/>
      <c r="E2018" s="559"/>
      <c r="F2018" s="559"/>
      <c r="G2018" s="558"/>
      <c r="H2018" s="559"/>
      <c r="I2018" s="559"/>
      <c r="J2018" s="559"/>
      <c r="K2018" s="560"/>
      <c r="L2018" s="560"/>
      <c r="M2018" s="560"/>
    </row>
    <row r="2019" spans="3:13" s="338" customFormat="1">
      <c r="C2019" s="558"/>
      <c r="D2019" s="559"/>
      <c r="E2019" s="559"/>
      <c r="F2019" s="559"/>
      <c r="G2019" s="558"/>
      <c r="H2019" s="559"/>
      <c r="I2019" s="559"/>
      <c r="J2019" s="559"/>
      <c r="K2019" s="560"/>
      <c r="L2019" s="560"/>
      <c r="M2019" s="560"/>
    </row>
    <row r="2020" spans="3:13" s="338" customFormat="1">
      <c r="C2020" s="558"/>
      <c r="D2020" s="559"/>
      <c r="E2020" s="559"/>
      <c r="F2020" s="559"/>
      <c r="G2020" s="558"/>
      <c r="H2020" s="559"/>
      <c r="I2020" s="559"/>
      <c r="J2020" s="559"/>
      <c r="K2020" s="560"/>
      <c r="L2020" s="560"/>
      <c r="M2020" s="560"/>
    </row>
    <row r="2021" spans="3:13" s="338" customFormat="1">
      <c r="C2021" s="558"/>
      <c r="D2021" s="559"/>
      <c r="E2021" s="559"/>
      <c r="F2021" s="559"/>
      <c r="G2021" s="558"/>
      <c r="H2021" s="559"/>
      <c r="I2021" s="559"/>
      <c r="J2021" s="559"/>
      <c r="K2021" s="560"/>
      <c r="L2021" s="560"/>
      <c r="M2021" s="560"/>
    </row>
    <row r="2022" spans="3:13" s="338" customFormat="1">
      <c r="C2022" s="558"/>
      <c r="D2022" s="559"/>
      <c r="E2022" s="559"/>
      <c r="F2022" s="559"/>
      <c r="G2022" s="558"/>
      <c r="H2022" s="559"/>
      <c r="I2022" s="559"/>
      <c r="J2022" s="559"/>
      <c r="K2022" s="560"/>
      <c r="L2022" s="560"/>
      <c r="M2022" s="560"/>
    </row>
    <row r="2023" spans="3:13" s="338" customFormat="1">
      <c r="C2023" s="558"/>
      <c r="D2023" s="559"/>
      <c r="E2023" s="559"/>
      <c r="F2023" s="559"/>
      <c r="G2023" s="558"/>
      <c r="H2023" s="559"/>
      <c r="I2023" s="559"/>
      <c r="J2023" s="559"/>
      <c r="K2023" s="560"/>
      <c r="L2023" s="560"/>
      <c r="M2023" s="560"/>
    </row>
    <row r="2024" spans="3:13" s="338" customFormat="1">
      <c r="C2024" s="558"/>
      <c r="D2024" s="559"/>
      <c r="E2024" s="559"/>
      <c r="F2024" s="559"/>
      <c r="G2024" s="558"/>
      <c r="H2024" s="559"/>
      <c r="I2024" s="559"/>
      <c r="J2024" s="559"/>
      <c r="K2024" s="560"/>
      <c r="L2024" s="560"/>
      <c r="M2024" s="560"/>
    </row>
    <row r="2025" spans="3:13" s="338" customFormat="1">
      <c r="C2025" s="558"/>
      <c r="D2025" s="559"/>
      <c r="E2025" s="559"/>
      <c r="F2025" s="559"/>
      <c r="G2025" s="558"/>
      <c r="H2025" s="559"/>
      <c r="I2025" s="559"/>
      <c r="J2025" s="559"/>
      <c r="K2025" s="560"/>
      <c r="L2025" s="560"/>
      <c r="M2025" s="560"/>
    </row>
    <row r="2026" spans="3:13" s="338" customFormat="1">
      <c r="C2026" s="558"/>
      <c r="D2026" s="559"/>
      <c r="E2026" s="559"/>
      <c r="F2026" s="559"/>
      <c r="G2026" s="558"/>
      <c r="H2026" s="559"/>
      <c r="I2026" s="559"/>
      <c r="J2026" s="559"/>
      <c r="K2026" s="560"/>
      <c r="L2026" s="560"/>
      <c r="M2026" s="560"/>
    </row>
    <row r="2027" spans="3:13" s="338" customFormat="1">
      <c r="C2027" s="558"/>
      <c r="D2027" s="559"/>
      <c r="E2027" s="559"/>
      <c r="F2027" s="559"/>
      <c r="G2027" s="558"/>
      <c r="H2027" s="559"/>
      <c r="I2027" s="559"/>
      <c r="J2027" s="559"/>
      <c r="K2027" s="560"/>
      <c r="L2027" s="560"/>
      <c r="M2027" s="560"/>
    </row>
    <row r="2028" spans="3:13" s="338" customFormat="1">
      <c r="C2028" s="558"/>
      <c r="D2028" s="559"/>
      <c r="E2028" s="559"/>
      <c r="F2028" s="559"/>
      <c r="G2028" s="558"/>
      <c r="H2028" s="559"/>
      <c r="I2028" s="559"/>
      <c r="J2028" s="559"/>
      <c r="K2028" s="560"/>
      <c r="L2028" s="560"/>
      <c r="M2028" s="560"/>
    </row>
    <row r="2029" spans="3:13" s="338" customFormat="1">
      <c r="C2029" s="558"/>
      <c r="D2029" s="559"/>
      <c r="E2029" s="559"/>
      <c r="F2029" s="559"/>
      <c r="G2029" s="558"/>
      <c r="H2029" s="559"/>
      <c r="I2029" s="559"/>
      <c r="J2029" s="559"/>
      <c r="K2029" s="560"/>
      <c r="L2029" s="560"/>
      <c r="M2029" s="560"/>
    </row>
    <row r="2030" spans="3:13" s="338" customFormat="1">
      <c r="C2030" s="558"/>
      <c r="D2030" s="559"/>
      <c r="E2030" s="559"/>
      <c r="F2030" s="559"/>
      <c r="G2030" s="558"/>
      <c r="H2030" s="559"/>
      <c r="I2030" s="559"/>
      <c r="J2030" s="559"/>
      <c r="K2030" s="560"/>
      <c r="L2030" s="560"/>
      <c r="M2030" s="560"/>
    </row>
    <row r="2031" spans="3:13" s="338" customFormat="1">
      <c r="C2031" s="558"/>
      <c r="D2031" s="559"/>
      <c r="E2031" s="559"/>
      <c r="F2031" s="559"/>
      <c r="G2031" s="558"/>
      <c r="H2031" s="559"/>
      <c r="I2031" s="559"/>
      <c r="J2031" s="559"/>
      <c r="K2031" s="560"/>
      <c r="L2031" s="560"/>
      <c r="M2031" s="560"/>
    </row>
    <row r="2032" spans="3:13" s="338" customFormat="1">
      <c r="C2032" s="558"/>
      <c r="D2032" s="559"/>
      <c r="E2032" s="559"/>
      <c r="F2032" s="559"/>
      <c r="G2032" s="558"/>
      <c r="H2032" s="559"/>
      <c r="I2032" s="559"/>
      <c r="J2032" s="559"/>
      <c r="K2032" s="560"/>
      <c r="L2032" s="560"/>
      <c r="M2032" s="560"/>
    </row>
    <row r="2033" spans="3:13" s="338" customFormat="1">
      <c r="C2033" s="558"/>
      <c r="D2033" s="559"/>
      <c r="E2033" s="559"/>
      <c r="F2033" s="559"/>
      <c r="G2033" s="558"/>
      <c r="H2033" s="559"/>
      <c r="I2033" s="559"/>
      <c r="J2033" s="559"/>
      <c r="K2033" s="560"/>
      <c r="L2033" s="560"/>
      <c r="M2033" s="560"/>
    </row>
    <row r="2034" spans="3:13" s="338" customFormat="1">
      <c r="C2034" s="558"/>
      <c r="D2034" s="559"/>
      <c r="E2034" s="559"/>
      <c r="F2034" s="559"/>
      <c r="G2034" s="558"/>
      <c r="H2034" s="559"/>
      <c r="I2034" s="559"/>
      <c r="J2034" s="559"/>
      <c r="K2034" s="560"/>
      <c r="L2034" s="560"/>
      <c r="M2034" s="560"/>
    </row>
    <row r="2035" spans="3:13" s="338" customFormat="1">
      <c r="C2035" s="558"/>
      <c r="D2035" s="559"/>
      <c r="E2035" s="559"/>
      <c r="F2035" s="559"/>
      <c r="G2035" s="558"/>
      <c r="H2035" s="559"/>
      <c r="I2035" s="559"/>
      <c r="J2035" s="559"/>
      <c r="K2035" s="560"/>
      <c r="L2035" s="560"/>
      <c r="M2035" s="560"/>
    </row>
    <row r="2036" spans="3:13" s="338" customFormat="1">
      <c r="C2036" s="558"/>
      <c r="D2036" s="559"/>
      <c r="E2036" s="559"/>
      <c r="F2036" s="559"/>
      <c r="G2036" s="558"/>
      <c r="H2036" s="559"/>
      <c r="I2036" s="559"/>
      <c r="J2036" s="559"/>
      <c r="K2036" s="560"/>
      <c r="L2036" s="560"/>
      <c r="M2036" s="560"/>
    </row>
    <row r="2037" spans="3:13" s="338" customFormat="1">
      <c r="C2037" s="558"/>
      <c r="D2037" s="559"/>
      <c r="E2037" s="559"/>
      <c r="F2037" s="559"/>
      <c r="G2037" s="558"/>
      <c r="H2037" s="559"/>
      <c r="I2037" s="559"/>
      <c r="J2037" s="559"/>
      <c r="K2037" s="560"/>
      <c r="L2037" s="560"/>
      <c r="M2037" s="560"/>
    </row>
    <row r="2038" spans="3:13" s="338" customFormat="1">
      <c r="C2038" s="558"/>
      <c r="D2038" s="559"/>
      <c r="E2038" s="559"/>
      <c r="F2038" s="559"/>
      <c r="G2038" s="558"/>
      <c r="H2038" s="559"/>
      <c r="I2038" s="559"/>
      <c r="J2038" s="559"/>
      <c r="K2038" s="560"/>
      <c r="L2038" s="560"/>
      <c r="M2038" s="560"/>
    </row>
    <row r="2039" spans="3:13" s="338" customFormat="1">
      <c r="C2039" s="558"/>
      <c r="D2039" s="559"/>
      <c r="E2039" s="559"/>
      <c r="F2039" s="559"/>
      <c r="G2039" s="558"/>
      <c r="H2039" s="559"/>
      <c r="I2039" s="559"/>
      <c r="J2039" s="559"/>
      <c r="K2039" s="560"/>
      <c r="L2039" s="560"/>
      <c r="M2039" s="560"/>
    </row>
    <row r="2040" spans="3:13" s="338" customFormat="1">
      <c r="C2040" s="558"/>
      <c r="D2040" s="559"/>
      <c r="E2040" s="559"/>
      <c r="F2040" s="559"/>
      <c r="G2040" s="558"/>
      <c r="H2040" s="559"/>
      <c r="I2040" s="559"/>
      <c r="J2040" s="559"/>
      <c r="K2040" s="560"/>
      <c r="L2040" s="560"/>
      <c r="M2040" s="560"/>
    </row>
    <row r="2041" spans="3:13" s="338" customFormat="1">
      <c r="C2041" s="558"/>
      <c r="D2041" s="559"/>
      <c r="E2041" s="559"/>
      <c r="F2041" s="559"/>
      <c r="G2041" s="558"/>
      <c r="H2041" s="559"/>
      <c r="I2041" s="559"/>
      <c r="J2041" s="559"/>
      <c r="K2041" s="560"/>
      <c r="L2041" s="560"/>
      <c r="M2041" s="560"/>
    </row>
    <row r="2042" spans="3:13" s="338" customFormat="1">
      <c r="C2042" s="558"/>
      <c r="D2042" s="559"/>
      <c r="E2042" s="559"/>
      <c r="F2042" s="559"/>
      <c r="G2042" s="558"/>
      <c r="H2042" s="559"/>
      <c r="I2042" s="559"/>
      <c r="J2042" s="559"/>
      <c r="K2042" s="560"/>
      <c r="L2042" s="560"/>
      <c r="M2042" s="560"/>
    </row>
    <row r="2043" spans="3:13" s="338" customFormat="1">
      <c r="C2043" s="558"/>
      <c r="D2043" s="559"/>
      <c r="E2043" s="559"/>
      <c r="F2043" s="559"/>
      <c r="G2043" s="558"/>
      <c r="H2043" s="559"/>
      <c r="I2043" s="559"/>
      <c r="J2043" s="559"/>
      <c r="K2043" s="560"/>
      <c r="L2043" s="560"/>
      <c r="M2043" s="560"/>
    </row>
    <row r="2044" spans="3:13" s="338" customFormat="1">
      <c r="C2044" s="558"/>
      <c r="D2044" s="559"/>
      <c r="E2044" s="559"/>
      <c r="F2044" s="559"/>
      <c r="G2044" s="558"/>
      <c r="H2044" s="559"/>
      <c r="I2044" s="559"/>
      <c r="J2044" s="559"/>
      <c r="K2044" s="560"/>
      <c r="L2044" s="560"/>
      <c r="M2044" s="560"/>
    </row>
    <row r="2045" spans="3:13" s="338" customFormat="1">
      <c r="C2045" s="558"/>
      <c r="D2045" s="559"/>
      <c r="E2045" s="559"/>
      <c r="F2045" s="559"/>
      <c r="G2045" s="558"/>
      <c r="H2045" s="559"/>
      <c r="I2045" s="559"/>
      <c r="J2045" s="559"/>
      <c r="K2045" s="560"/>
      <c r="L2045" s="560"/>
      <c r="M2045" s="560"/>
    </row>
    <row r="2046" spans="3:13" s="338" customFormat="1">
      <c r="C2046" s="558"/>
      <c r="D2046" s="559"/>
      <c r="E2046" s="559"/>
      <c r="F2046" s="559"/>
      <c r="G2046" s="558"/>
      <c r="H2046" s="559"/>
      <c r="I2046" s="559"/>
      <c r="J2046" s="559"/>
      <c r="K2046" s="560"/>
      <c r="L2046" s="560"/>
      <c r="M2046" s="560"/>
    </row>
    <row r="2047" spans="3:13" s="338" customFormat="1">
      <c r="C2047" s="558"/>
      <c r="D2047" s="559"/>
      <c r="E2047" s="559"/>
      <c r="F2047" s="559"/>
      <c r="G2047" s="558"/>
      <c r="H2047" s="559"/>
      <c r="I2047" s="559"/>
      <c r="J2047" s="559"/>
      <c r="K2047" s="560"/>
      <c r="L2047" s="560"/>
      <c r="M2047" s="560"/>
    </row>
    <row r="2048" spans="3:13" s="338" customFormat="1">
      <c r="C2048" s="558"/>
      <c r="D2048" s="559"/>
      <c r="E2048" s="559"/>
      <c r="F2048" s="559"/>
      <c r="G2048" s="558"/>
      <c r="H2048" s="559"/>
      <c r="I2048" s="559"/>
      <c r="J2048" s="559"/>
      <c r="K2048" s="560"/>
      <c r="L2048" s="560"/>
      <c r="M2048" s="560"/>
    </row>
    <row r="2049" spans="3:13" s="338" customFormat="1">
      <c r="C2049" s="558"/>
      <c r="D2049" s="559"/>
      <c r="E2049" s="559"/>
      <c r="F2049" s="559"/>
      <c r="G2049" s="558"/>
      <c r="H2049" s="559"/>
      <c r="I2049" s="559"/>
      <c r="J2049" s="559"/>
      <c r="K2049" s="560"/>
      <c r="L2049" s="560"/>
      <c r="M2049" s="560"/>
    </row>
    <row r="2050" spans="3:13" s="338" customFormat="1">
      <c r="C2050" s="558"/>
      <c r="D2050" s="559"/>
      <c r="E2050" s="559"/>
      <c r="F2050" s="559"/>
      <c r="G2050" s="558"/>
      <c r="H2050" s="559"/>
      <c r="I2050" s="559"/>
      <c r="J2050" s="559"/>
      <c r="K2050" s="560"/>
      <c r="L2050" s="560"/>
      <c r="M2050" s="560"/>
    </row>
    <row r="2051" spans="3:13" s="338" customFormat="1">
      <c r="C2051" s="558"/>
      <c r="D2051" s="559"/>
      <c r="E2051" s="559"/>
      <c r="F2051" s="559"/>
      <c r="G2051" s="558"/>
      <c r="H2051" s="559"/>
      <c r="I2051" s="559"/>
      <c r="J2051" s="559"/>
      <c r="K2051" s="560"/>
      <c r="L2051" s="560"/>
      <c r="M2051" s="560"/>
    </row>
    <row r="2052" spans="3:13" s="338" customFormat="1">
      <c r="C2052" s="558"/>
      <c r="D2052" s="559"/>
      <c r="E2052" s="559"/>
      <c r="F2052" s="559"/>
      <c r="G2052" s="558"/>
      <c r="H2052" s="559"/>
      <c r="I2052" s="559"/>
      <c r="J2052" s="559"/>
      <c r="K2052" s="560"/>
      <c r="L2052" s="560"/>
      <c r="M2052" s="560"/>
    </row>
    <row r="2053" spans="3:13" s="338" customFormat="1">
      <c r="C2053" s="558"/>
      <c r="D2053" s="559"/>
      <c r="E2053" s="559"/>
      <c r="F2053" s="559"/>
      <c r="G2053" s="558"/>
      <c r="H2053" s="559"/>
      <c r="I2053" s="559"/>
      <c r="J2053" s="559"/>
      <c r="K2053" s="560"/>
      <c r="L2053" s="560"/>
      <c r="M2053" s="560"/>
    </row>
    <row r="2054" spans="3:13" s="338" customFormat="1">
      <c r="C2054" s="558"/>
      <c r="D2054" s="559"/>
      <c r="E2054" s="559"/>
      <c r="F2054" s="559"/>
      <c r="G2054" s="558"/>
      <c r="H2054" s="559"/>
      <c r="I2054" s="559"/>
      <c r="J2054" s="559"/>
      <c r="K2054" s="560"/>
      <c r="L2054" s="560"/>
      <c r="M2054" s="560"/>
    </row>
    <row r="2055" spans="3:13" s="338" customFormat="1">
      <c r="C2055" s="558"/>
      <c r="D2055" s="559"/>
      <c r="E2055" s="559"/>
      <c r="F2055" s="559"/>
      <c r="G2055" s="558"/>
      <c r="H2055" s="559"/>
      <c r="I2055" s="559"/>
      <c r="J2055" s="559"/>
      <c r="K2055" s="560"/>
      <c r="L2055" s="560"/>
      <c r="M2055" s="560"/>
    </row>
    <row r="2056" spans="3:13" s="338" customFormat="1">
      <c r="C2056" s="558"/>
      <c r="D2056" s="559"/>
      <c r="E2056" s="559"/>
      <c r="F2056" s="559"/>
      <c r="G2056" s="558"/>
      <c r="H2056" s="559"/>
      <c r="I2056" s="559"/>
      <c r="J2056" s="559"/>
      <c r="K2056" s="560"/>
      <c r="L2056" s="560"/>
      <c r="M2056" s="560"/>
    </row>
    <row r="2057" spans="3:13" s="338" customFormat="1">
      <c r="C2057" s="558"/>
      <c r="D2057" s="559"/>
      <c r="E2057" s="559"/>
      <c r="F2057" s="559"/>
      <c r="G2057" s="558"/>
      <c r="H2057" s="559"/>
      <c r="I2057" s="559"/>
      <c r="J2057" s="559"/>
      <c r="K2057" s="560"/>
      <c r="L2057" s="560"/>
      <c r="M2057" s="560"/>
    </row>
    <row r="2058" spans="3:13" s="338" customFormat="1">
      <c r="C2058" s="558"/>
      <c r="D2058" s="559"/>
      <c r="E2058" s="559"/>
      <c r="F2058" s="559"/>
      <c r="G2058" s="558"/>
      <c r="H2058" s="559"/>
      <c r="I2058" s="559"/>
      <c r="J2058" s="559"/>
      <c r="K2058" s="560"/>
      <c r="L2058" s="560"/>
      <c r="M2058" s="560"/>
    </row>
    <row r="2059" spans="3:13" s="338" customFormat="1">
      <c r="C2059" s="558"/>
      <c r="D2059" s="559"/>
      <c r="E2059" s="559"/>
      <c r="F2059" s="559"/>
      <c r="G2059" s="558"/>
      <c r="H2059" s="559"/>
      <c r="I2059" s="559"/>
      <c r="J2059" s="559"/>
      <c r="K2059" s="560"/>
      <c r="L2059" s="560"/>
      <c r="M2059" s="560"/>
    </row>
    <row r="2060" spans="3:13" s="338" customFormat="1">
      <c r="C2060" s="558"/>
      <c r="D2060" s="559"/>
      <c r="E2060" s="559"/>
      <c r="F2060" s="559"/>
      <c r="G2060" s="558"/>
      <c r="H2060" s="559"/>
      <c r="I2060" s="559"/>
      <c r="J2060" s="559"/>
      <c r="K2060" s="560"/>
      <c r="L2060" s="560"/>
      <c r="M2060" s="560"/>
    </row>
    <row r="2061" spans="3:13" s="338" customFormat="1">
      <c r="C2061" s="558"/>
      <c r="D2061" s="559"/>
      <c r="E2061" s="559"/>
      <c r="F2061" s="559"/>
      <c r="G2061" s="558"/>
      <c r="H2061" s="559"/>
      <c r="I2061" s="559"/>
      <c r="J2061" s="559"/>
      <c r="K2061" s="560"/>
      <c r="L2061" s="560"/>
      <c r="M2061" s="560"/>
    </row>
    <row r="2062" spans="3:13" s="338" customFormat="1">
      <c r="C2062" s="558"/>
      <c r="D2062" s="559"/>
      <c r="E2062" s="559"/>
      <c r="F2062" s="559"/>
      <c r="G2062" s="558"/>
      <c r="H2062" s="559"/>
      <c r="I2062" s="559"/>
      <c r="J2062" s="559"/>
      <c r="K2062" s="560"/>
      <c r="L2062" s="560"/>
      <c r="M2062" s="560"/>
    </row>
    <row r="2063" spans="3:13" s="338" customFormat="1">
      <c r="C2063" s="558"/>
      <c r="D2063" s="559"/>
      <c r="E2063" s="559"/>
      <c r="F2063" s="559"/>
      <c r="G2063" s="558"/>
      <c r="H2063" s="559"/>
      <c r="I2063" s="559"/>
      <c r="J2063" s="559"/>
      <c r="K2063" s="560"/>
      <c r="L2063" s="560"/>
      <c r="M2063" s="560"/>
    </row>
    <row r="2064" spans="3:13" s="338" customFormat="1">
      <c r="C2064" s="558"/>
      <c r="D2064" s="559"/>
      <c r="E2064" s="559"/>
      <c r="F2064" s="559"/>
      <c r="G2064" s="558"/>
      <c r="H2064" s="559"/>
      <c r="I2064" s="559"/>
      <c r="J2064" s="559"/>
      <c r="K2064" s="560"/>
      <c r="L2064" s="560"/>
      <c r="M2064" s="560"/>
    </row>
    <row r="2065" spans="3:13" s="338" customFormat="1">
      <c r="C2065" s="558"/>
      <c r="D2065" s="559"/>
      <c r="E2065" s="559"/>
      <c r="F2065" s="559"/>
      <c r="G2065" s="558"/>
      <c r="H2065" s="559"/>
      <c r="I2065" s="559"/>
      <c r="J2065" s="559"/>
      <c r="K2065" s="560"/>
      <c r="L2065" s="560"/>
      <c r="M2065" s="560"/>
    </row>
    <row r="2066" spans="3:13" s="338" customFormat="1">
      <c r="C2066" s="558"/>
      <c r="D2066" s="559"/>
      <c r="E2066" s="559"/>
      <c r="F2066" s="559"/>
      <c r="G2066" s="558"/>
      <c r="H2066" s="559"/>
      <c r="I2066" s="559"/>
      <c r="J2066" s="559"/>
      <c r="K2066" s="560"/>
      <c r="L2066" s="560"/>
      <c r="M2066" s="560"/>
    </row>
    <row r="2067" spans="3:13" s="338" customFormat="1">
      <c r="C2067" s="558"/>
      <c r="D2067" s="559"/>
      <c r="E2067" s="559"/>
      <c r="F2067" s="559"/>
      <c r="G2067" s="558"/>
      <c r="H2067" s="559"/>
      <c r="I2067" s="559"/>
      <c r="J2067" s="559"/>
      <c r="K2067" s="560"/>
      <c r="L2067" s="560"/>
      <c r="M2067" s="560"/>
    </row>
    <row r="2068" spans="3:13" s="338" customFormat="1">
      <c r="C2068" s="558"/>
      <c r="D2068" s="559"/>
      <c r="E2068" s="559"/>
      <c r="F2068" s="559"/>
      <c r="G2068" s="558"/>
      <c r="H2068" s="559"/>
      <c r="I2068" s="559"/>
      <c r="J2068" s="559"/>
      <c r="K2068" s="560"/>
      <c r="L2068" s="560"/>
      <c r="M2068" s="560"/>
    </row>
    <row r="2069" spans="3:13" s="338" customFormat="1">
      <c r="C2069" s="558"/>
      <c r="D2069" s="559"/>
      <c r="E2069" s="559"/>
      <c r="F2069" s="559"/>
      <c r="G2069" s="558"/>
      <c r="H2069" s="559"/>
      <c r="I2069" s="559"/>
      <c r="J2069" s="559"/>
      <c r="K2069" s="560"/>
      <c r="L2069" s="560"/>
      <c r="M2069" s="560"/>
    </row>
    <row r="2070" spans="3:13" s="338" customFormat="1">
      <c r="C2070" s="558"/>
      <c r="D2070" s="559"/>
      <c r="E2070" s="559"/>
      <c r="F2070" s="559"/>
      <c r="G2070" s="558"/>
      <c r="H2070" s="559"/>
      <c r="I2070" s="559"/>
      <c r="J2070" s="559"/>
      <c r="K2070" s="560"/>
      <c r="L2070" s="560"/>
      <c r="M2070" s="560"/>
    </row>
    <row r="2071" spans="3:13" s="338" customFormat="1">
      <c r="C2071" s="558"/>
      <c r="D2071" s="559"/>
      <c r="E2071" s="559"/>
      <c r="F2071" s="559"/>
      <c r="G2071" s="558"/>
      <c r="H2071" s="559"/>
      <c r="I2071" s="559"/>
      <c r="J2071" s="559"/>
      <c r="K2071" s="560"/>
      <c r="L2071" s="560"/>
      <c r="M2071" s="560"/>
    </row>
    <row r="2072" spans="3:13" s="338" customFormat="1">
      <c r="C2072" s="558"/>
      <c r="D2072" s="559"/>
      <c r="E2072" s="559"/>
      <c r="F2072" s="559"/>
      <c r="G2072" s="558"/>
      <c r="H2072" s="559"/>
      <c r="I2072" s="559"/>
      <c r="J2072" s="559"/>
      <c r="K2072" s="560"/>
      <c r="L2072" s="560"/>
      <c r="M2072" s="560"/>
    </row>
    <row r="2073" spans="3:13" s="338" customFormat="1">
      <c r="C2073" s="558"/>
      <c r="D2073" s="559"/>
      <c r="E2073" s="559"/>
      <c r="F2073" s="559"/>
      <c r="G2073" s="558"/>
      <c r="H2073" s="559"/>
      <c r="I2073" s="559"/>
      <c r="J2073" s="559"/>
      <c r="K2073" s="560"/>
      <c r="L2073" s="560"/>
      <c r="M2073" s="560"/>
    </row>
    <row r="2074" spans="3:13" s="338" customFormat="1">
      <c r="C2074" s="558"/>
      <c r="D2074" s="559"/>
      <c r="E2074" s="559"/>
      <c r="F2074" s="559"/>
      <c r="G2074" s="558"/>
      <c r="H2074" s="559"/>
      <c r="I2074" s="559"/>
      <c r="J2074" s="559"/>
      <c r="K2074" s="560"/>
      <c r="L2074" s="560"/>
      <c r="M2074" s="560"/>
    </row>
    <row r="2075" spans="3:13" s="338" customFormat="1">
      <c r="C2075" s="558"/>
      <c r="D2075" s="559"/>
      <c r="E2075" s="559"/>
      <c r="F2075" s="559"/>
      <c r="G2075" s="558"/>
      <c r="H2075" s="559"/>
      <c r="I2075" s="559"/>
      <c r="J2075" s="559"/>
      <c r="K2075" s="560"/>
      <c r="L2075" s="560"/>
      <c r="M2075" s="560"/>
    </row>
    <row r="2076" spans="3:13" s="338" customFormat="1">
      <c r="C2076" s="558"/>
      <c r="D2076" s="559"/>
      <c r="E2076" s="559"/>
      <c r="F2076" s="559"/>
      <c r="G2076" s="558"/>
      <c r="H2076" s="559"/>
      <c r="I2076" s="559"/>
      <c r="J2076" s="559"/>
      <c r="K2076" s="560"/>
      <c r="L2076" s="560"/>
      <c r="M2076" s="560"/>
    </row>
    <row r="2077" spans="3:13" s="338" customFormat="1">
      <c r="C2077" s="558"/>
      <c r="D2077" s="559"/>
      <c r="E2077" s="559"/>
      <c r="F2077" s="559"/>
      <c r="G2077" s="558"/>
      <c r="H2077" s="559"/>
      <c r="I2077" s="559"/>
      <c r="J2077" s="559"/>
      <c r="K2077" s="560"/>
      <c r="L2077" s="560"/>
      <c r="M2077" s="560"/>
    </row>
    <row r="2078" spans="3:13" s="338" customFormat="1">
      <c r="C2078" s="558"/>
      <c r="D2078" s="559"/>
      <c r="E2078" s="559"/>
      <c r="F2078" s="559"/>
      <c r="G2078" s="558"/>
      <c r="H2078" s="559"/>
      <c r="I2078" s="559"/>
      <c r="J2078" s="559"/>
      <c r="K2078" s="560"/>
      <c r="L2078" s="560"/>
      <c r="M2078" s="560"/>
    </row>
    <row r="2079" spans="3:13" s="338" customFormat="1">
      <c r="C2079" s="558"/>
      <c r="D2079" s="559"/>
      <c r="E2079" s="559"/>
      <c r="F2079" s="559"/>
      <c r="G2079" s="558"/>
      <c r="H2079" s="559"/>
      <c r="I2079" s="559"/>
      <c r="J2079" s="559"/>
      <c r="K2079" s="560"/>
      <c r="L2079" s="560"/>
      <c r="M2079" s="560"/>
    </row>
    <row r="2080" spans="3:13" s="338" customFormat="1">
      <c r="C2080" s="558"/>
      <c r="D2080" s="559"/>
      <c r="E2080" s="559"/>
      <c r="F2080" s="559"/>
      <c r="G2080" s="558"/>
      <c r="H2080" s="559"/>
      <c r="I2080" s="559"/>
      <c r="J2080" s="559"/>
      <c r="K2080" s="560"/>
      <c r="L2080" s="560"/>
      <c r="M2080" s="560"/>
    </row>
    <row r="2081" spans="3:13" s="338" customFormat="1">
      <c r="C2081" s="558"/>
      <c r="D2081" s="559"/>
      <c r="E2081" s="559"/>
      <c r="F2081" s="559"/>
      <c r="G2081" s="558"/>
      <c r="H2081" s="559"/>
      <c r="I2081" s="559"/>
      <c r="J2081" s="559"/>
      <c r="K2081" s="560"/>
      <c r="L2081" s="560"/>
      <c r="M2081" s="560"/>
    </row>
    <row r="2082" spans="3:13" s="338" customFormat="1">
      <c r="C2082" s="558"/>
      <c r="D2082" s="559"/>
      <c r="E2082" s="559"/>
      <c r="F2082" s="559"/>
      <c r="G2082" s="558"/>
      <c r="H2082" s="559"/>
      <c r="I2082" s="559"/>
      <c r="J2082" s="559"/>
      <c r="K2082" s="560"/>
      <c r="L2082" s="560"/>
      <c r="M2082" s="560"/>
    </row>
    <row r="2083" spans="3:13" s="338" customFormat="1">
      <c r="C2083" s="558"/>
      <c r="D2083" s="559"/>
      <c r="E2083" s="559"/>
      <c r="F2083" s="559"/>
      <c r="G2083" s="558"/>
      <c r="H2083" s="559"/>
      <c r="I2083" s="559"/>
      <c r="J2083" s="559"/>
      <c r="K2083" s="560"/>
      <c r="L2083" s="560"/>
      <c r="M2083" s="560"/>
    </row>
    <row r="2084" spans="3:13" s="338" customFormat="1">
      <c r="C2084" s="558"/>
      <c r="D2084" s="559"/>
      <c r="E2084" s="559"/>
      <c r="F2084" s="559"/>
      <c r="G2084" s="558"/>
      <c r="H2084" s="559"/>
      <c r="I2084" s="559"/>
      <c r="J2084" s="559"/>
      <c r="K2084" s="560"/>
      <c r="L2084" s="560"/>
      <c r="M2084" s="560"/>
    </row>
    <row r="2085" spans="3:13" s="338" customFormat="1">
      <c r="C2085" s="558"/>
      <c r="D2085" s="559"/>
      <c r="E2085" s="559"/>
      <c r="F2085" s="559"/>
      <c r="G2085" s="558"/>
      <c r="H2085" s="559"/>
      <c r="I2085" s="559"/>
      <c r="J2085" s="559"/>
      <c r="K2085" s="560"/>
      <c r="L2085" s="560"/>
      <c r="M2085" s="560"/>
    </row>
    <row r="2086" spans="3:13" s="338" customFormat="1">
      <c r="C2086" s="558"/>
      <c r="D2086" s="559"/>
      <c r="E2086" s="559"/>
      <c r="F2086" s="559"/>
      <c r="G2086" s="558"/>
      <c r="H2086" s="559"/>
      <c r="I2086" s="559"/>
      <c r="J2086" s="559"/>
      <c r="K2086" s="560"/>
      <c r="L2086" s="560"/>
      <c r="M2086" s="560"/>
    </row>
    <row r="2087" spans="3:13" s="338" customFormat="1">
      <c r="C2087" s="558"/>
      <c r="D2087" s="559"/>
      <c r="E2087" s="559"/>
      <c r="F2087" s="559"/>
      <c r="G2087" s="558"/>
      <c r="H2087" s="559"/>
      <c r="I2087" s="559"/>
      <c r="J2087" s="559"/>
      <c r="K2087" s="560"/>
      <c r="L2087" s="560"/>
      <c r="M2087" s="560"/>
    </row>
    <row r="2088" spans="3:13" s="338" customFormat="1">
      <c r="C2088" s="558"/>
      <c r="D2088" s="559"/>
      <c r="E2088" s="559"/>
      <c r="F2088" s="559"/>
      <c r="G2088" s="558"/>
      <c r="H2088" s="559"/>
      <c r="I2088" s="559"/>
      <c r="J2088" s="559"/>
      <c r="K2088" s="560"/>
      <c r="L2088" s="560"/>
      <c r="M2088" s="560"/>
    </row>
    <row r="2089" spans="3:13" s="338" customFormat="1">
      <c r="C2089" s="558"/>
      <c r="D2089" s="559"/>
      <c r="E2089" s="559"/>
      <c r="F2089" s="559"/>
      <c r="G2089" s="558"/>
      <c r="H2089" s="559"/>
      <c r="I2089" s="559"/>
      <c r="J2089" s="559"/>
      <c r="K2089" s="560"/>
      <c r="L2089" s="560"/>
      <c r="M2089" s="560"/>
    </row>
    <row r="2090" spans="3:13" s="338" customFormat="1">
      <c r="C2090" s="558"/>
      <c r="D2090" s="559"/>
      <c r="E2090" s="559"/>
      <c r="F2090" s="559"/>
      <c r="G2090" s="558"/>
      <c r="H2090" s="559"/>
      <c r="I2090" s="559"/>
      <c r="J2090" s="559"/>
      <c r="K2090" s="560"/>
      <c r="L2090" s="560"/>
      <c r="M2090" s="560"/>
    </row>
    <row r="2091" spans="3:13" s="338" customFormat="1">
      <c r="C2091" s="558"/>
      <c r="D2091" s="559"/>
      <c r="E2091" s="559"/>
      <c r="F2091" s="559"/>
      <c r="G2091" s="558"/>
      <c r="H2091" s="559"/>
      <c r="I2091" s="559"/>
      <c r="J2091" s="559"/>
      <c r="K2091" s="560"/>
      <c r="L2091" s="560"/>
      <c r="M2091" s="560"/>
    </row>
    <row r="2092" spans="3:13" s="338" customFormat="1">
      <c r="C2092" s="558"/>
      <c r="D2092" s="559"/>
      <c r="E2092" s="559"/>
      <c r="F2092" s="559"/>
      <c r="G2092" s="558"/>
      <c r="H2092" s="559"/>
      <c r="I2092" s="559"/>
      <c r="J2092" s="559"/>
      <c r="K2092" s="560"/>
      <c r="L2092" s="560"/>
      <c r="M2092" s="560"/>
    </row>
    <row r="2093" spans="3:13" s="338" customFormat="1">
      <c r="C2093" s="558"/>
      <c r="D2093" s="559"/>
      <c r="E2093" s="559"/>
      <c r="F2093" s="559"/>
      <c r="G2093" s="558"/>
      <c r="H2093" s="559"/>
      <c r="I2093" s="559"/>
      <c r="J2093" s="559"/>
      <c r="K2093" s="560"/>
      <c r="L2093" s="560"/>
      <c r="M2093" s="560"/>
    </row>
    <row r="2094" spans="3:13" s="338" customFormat="1">
      <c r="C2094" s="558"/>
      <c r="D2094" s="559"/>
      <c r="E2094" s="559"/>
      <c r="F2094" s="559"/>
      <c r="G2094" s="558"/>
      <c r="H2094" s="559"/>
      <c r="I2094" s="559"/>
      <c r="J2094" s="559"/>
      <c r="K2094" s="560"/>
      <c r="L2094" s="560"/>
      <c r="M2094" s="560"/>
    </row>
    <row r="2095" spans="3:13" s="338" customFormat="1">
      <c r="C2095" s="558"/>
      <c r="D2095" s="559"/>
      <c r="E2095" s="559"/>
      <c r="F2095" s="559"/>
      <c r="G2095" s="558"/>
      <c r="H2095" s="559"/>
      <c r="I2095" s="559"/>
      <c r="J2095" s="559"/>
      <c r="K2095" s="560"/>
      <c r="L2095" s="560"/>
      <c r="M2095" s="560"/>
    </row>
    <row r="2096" spans="3:13" s="338" customFormat="1">
      <c r="C2096" s="558"/>
      <c r="D2096" s="559"/>
      <c r="E2096" s="559"/>
      <c r="F2096" s="559"/>
      <c r="G2096" s="558"/>
      <c r="H2096" s="559"/>
      <c r="I2096" s="559"/>
      <c r="J2096" s="559"/>
      <c r="K2096" s="560"/>
      <c r="L2096" s="560"/>
      <c r="M2096" s="560"/>
    </row>
    <row r="2097" spans="3:13" s="338" customFormat="1">
      <c r="C2097" s="558"/>
      <c r="D2097" s="559"/>
      <c r="E2097" s="559"/>
      <c r="F2097" s="559"/>
      <c r="G2097" s="558"/>
      <c r="H2097" s="559"/>
      <c r="I2097" s="559"/>
      <c r="J2097" s="559"/>
      <c r="K2097" s="560"/>
      <c r="L2097" s="560"/>
      <c r="M2097" s="560"/>
    </row>
    <row r="2098" spans="3:13" s="338" customFormat="1">
      <c r="C2098" s="558"/>
      <c r="D2098" s="559"/>
      <c r="E2098" s="559"/>
      <c r="F2098" s="559"/>
      <c r="G2098" s="558"/>
      <c r="H2098" s="559"/>
      <c r="I2098" s="559"/>
      <c r="J2098" s="559"/>
      <c r="K2098" s="560"/>
      <c r="L2098" s="560"/>
      <c r="M2098" s="560"/>
    </row>
    <row r="2099" spans="3:13" s="338" customFormat="1">
      <c r="C2099" s="558"/>
      <c r="D2099" s="559"/>
      <c r="E2099" s="559"/>
      <c r="F2099" s="559"/>
      <c r="G2099" s="558"/>
      <c r="H2099" s="559"/>
      <c r="I2099" s="559"/>
      <c r="J2099" s="559"/>
      <c r="K2099" s="560"/>
      <c r="L2099" s="560"/>
      <c r="M2099" s="560"/>
    </row>
    <row r="2100" spans="3:13" s="338" customFormat="1">
      <c r="C2100" s="558"/>
      <c r="D2100" s="559"/>
      <c r="E2100" s="559"/>
      <c r="F2100" s="559"/>
      <c r="G2100" s="558"/>
      <c r="H2100" s="559"/>
      <c r="I2100" s="559"/>
      <c r="J2100" s="559"/>
      <c r="K2100" s="560"/>
      <c r="L2100" s="560"/>
      <c r="M2100" s="560"/>
    </row>
    <row r="2101" spans="3:13" s="338" customFormat="1">
      <c r="C2101" s="558"/>
      <c r="D2101" s="559"/>
      <c r="E2101" s="559"/>
      <c r="F2101" s="559"/>
      <c r="G2101" s="558"/>
      <c r="H2101" s="559"/>
      <c r="I2101" s="559"/>
      <c r="J2101" s="559"/>
      <c r="K2101" s="560"/>
      <c r="L2101" s="560"/>
      <c r="M2101" s="560"/>
    </row>
    <row r="2102" spans="3:13" s="338" customFormat="1">
      <c r="C2102" s="558"/>
      <c r="D2102" s="559"/>
      <c r="E2102" s="559"/>
      <c r="F2102" s="559"/>
      <c r="G2102" s="558"/>
      <c r="H2102" s="559"/>
      <c r="I2102" s="559"/>
      <c r="J2102" s="559"/>
      <c r="K2102" s="560"/>
      <c r="L2102" s="560"/>
      <c r="M2102" s="560"/>
    </row>
    <row r="2103" spans="3:13" s="338" customFormat="1">
      <c r="C2103" s="558"/>
      <c r="D2103" s="559"/>
      <c r="E2103" s="559"/>
      <c r="F2103" s="559"/>
      <c r="G2103" s="558"/>
      <c r="H2103" s="559"/>
      <c r="I2103" s="559"/>
      <c r="J2103" s="559"/>
      <c r="K2103" s="560"/>
      <c r="L2103" s="560"/>
      <c r="M2103" s="560"/>
    </row>
    <row r="2104" spans="3:13" s="338" customFormat="1">
      <c r="C2104" s="558"/>
      <c r="D2104" s="559"/>
      <c r="E2104" s="559"/>
      <c r="F2104" s="559"/>
      <c r="G2104" s="558"/>
      <c r="H2104" s="559"/>
      <c r="I2104" s="559"/>
      <c r="J2104" s="559"/>
      <c r="K2104" s="560"/>
      <c r="L2104" s="560"/>
      <c r="M2104" s="560"/>
    </row>
    <row r="2105" spans="3:13" s="338" customFormat="1">
      <c r="C2105" s="558"/>
      <c r="D2105" s="559"/>
      <c r="E2105" s="559"/>
      <c r="F2105" s="559"/>
      <c r="G2105" s="558"/>
      <c r="H2105" s="559"/>
      <c r="I2105" s="559"/>
      <c r="J2105" s="559"/>
      <c r="K2105" s="560"/>
      <c r="L2105" s="560"/>
      <c r="M2105" s="560"/>
    </row>
    <row r="2106" spans="3:13" s="338" customFormat="1">
      <c r="C2106" s="558"/>
      <c r="D2106" s="559"/>
      <c r="E2106" s="559"/>
      <c r="F2106" s="559"/>
      <c r="G2106" s="558"/>
      <c r="H2106" s="559"/>
      <c r="I2106" s="559"/>
      <c r="J2106" s="559"/>
      <c r="K2106" s="560"/>
      <c r="L2106" s="560"/>
      <c r="M2106" s="560"/>
    </row>
    <row r="2107" spans="3:13" s="338" customFormat="1">
      <c r="C2107" s="558"/>
      <c r="D2107" s="559"/>
      <c r="E2107" s="559"/>
      <c r="F2107" s="559"/>
      <c r="G2107" s="558"/>
      <c r="H2107" s="559"/>
      <c r="I2107" s="559"/>
      <c r="J2107" s="559"/>
      <c r="K2107" s="560"/>
      <c r="L2107" s="560"/>
      <c r="M2107" s="560"/>
    </row>
    <row r="2108" spans="3:13" s="338" customFormat="1">
      <c r="C2108" s="558"/>
      <c r="D2108" s="559"/>
      <c r="E2108" s="559"/>
      <c r="F2108" s="559"/>
      <c r="G2108" s="558"/>
      <c r="H2108" s="559"/>
      <c r="I2108" s="559"/>
      <c r="J2108" s="559"/>
      <c r="K2108" s="560"/>
      <c r="L2108" s="560"/>
      <c r="M2108" s="560"/>
    </row>
    <row r="2109" spans="3:13" s="338" customFormat="1">
      <c r="C2109" s="558"/>
      <c r="D2109" s="559"/>
      <c r="E2109" s="559"/>
      <c r="F2109" s="559"/>
      <c r="G2109" s="558"/>
      <c r="H2109" s="559"/>
      <c r="I2109" s="559"/>
      <c r="J2109" s="559"/>
      <c r="K2109" s="560"/>
      <c r="L2109" s="560"/>
      <c r="M2109" s="560"/>
    </row>
    <row r="2110" spans="3:13" s="338" customFormat="1">
      <c r="C2110" s="558"/>
      <c r="D2110" s="559"/>
      <c r="E2110" s="559"/>
      <c r="F2110" s="559"/>
      <c r="G2110" s="558"/>
      <c r="H2110" s="559"/>
      <c r="I2110" s="559"/>
      <c r="J2110" s="559"/>
      <c r="K2110" s="560"/>
      <c r="L2110" s="560"/>
      <c r="M2110" s="560"/>
    </row>
    <row r="2111" spans="3:13" s="338" customFormat="1">
      <c r="C2111" s="558"/>
      <c r="D2111" s="559"/>
      <c r="E2111" s="559"/>
      <c r="F2111" s="559"/>
      <c r="G2111" s="558"/>
      <c r="H2111" s="559"/>
      <c r="I2111" s="559"/>
      <c r="J2111" s="559"/>
      <c r="K2111" s="560"/>
      <c r="L2111" s="560"/>
      <c r="M2111" s="560"/>
    </row>
    <row r="2112" spans="3:13" s="338" customFormat="1">
      <c r="C2112" s="558"/>
      <c r="D2112" s="559"/>
      <c r="E2112" s="559"/>
      <c r="F2112" s="559"/>
      <c r="G2112" s="558"/>
      <c r="H2112" s="559"/>
      <c r="I2112" s="559"/>
      <c r="J2112" s="559"/>
      <c r="K2112" s="560"/>
      <c r="L2112" s="560"/>
      <c r="M2112" s="560"/>
    </row>
    <row r="2113" spans="3:13" s="338" customFormat="1">
      <c r="C2113" s="558"/>
      <c r="D2113" s="559"/>
      <c r="E2113" s="559"/>
      <c r="F2113" s="559"/>
      <c r="G2113" s="558"/>
      <c r="H2113" s="559"/>
      <c r="I2113" s="559"/>
      <c r="J2113" s="559"/>
      <c r="K2113" s="560"/>
      <c r="L2113" s="560"/>
      <c r="M2113" s="560"/>
    </row>
    <row r="2114" spans="3:13" s="338" customFormat="1">
      <c r="C2114" s="558"/>
      <c r="D2114" s="559"/>
      <c r="E2114" s="559"/>
      <c r="F2114" s="559"/>
      <c r="G2114" s="558"/>
      <c r="H2114" s="559"/>
      <c r="I2114" s="559"/>
      <c r="J2114" s="559"/>
      <c r="K2114" s="560"/>
      <c r="L2114" s="560"/>
      <c r="M2114" s="560"/>
    </row>
    <row r="2115" spans="3:13" s="338" customFormat="1">
      <c r="C2115" s="558"/>
      <c r="D2115" s="559"/>
      <c r="E2115" s="559"/>
      <c r="F2115" s="559"/>
      <c r="G2115" s="558"/>
      <c r="H2115" s="559"/>
      <c r="I2115" s="559"/>
      <c r="J2115" s="559"/>
      <c r="K2115" s="560"/>
      <c r="L2115" s="560"/>
      <c r="M2115" s="560"/>
    </row>
    <row r="2116" spans="3:13" s="338" customFormat="1">
      <c r="C2116" s="558"/>
      <c r="D2116" s="559"/>
      <c r="E2116" s="559"/>
      <c r="F2116" s="559"/>
      <c r="G2116" s="558"/>
      <c r="H2116" s="559"/>
      <c r="I2116" s="559"/>
      <c r="J2116" s="559"/>
      <c r="K2116" s="560"/>
      <c r="L2116" s="560"/>
      <c r="M2116" s="560"/>
    </row>
    <row r="2117" spans="3:13" s="338" customFormat="1">
      <c r="C2117" s="558"/>
      <c r="D2117" s="559"/>
      <c r="E2117" s="559"/>
      <c r="F2117" s="559"/>
      <c r="G2117" s="558"/>
      <c r="H2117" s="559"/>
      <c r="I2117" s="559"/>
      <c r="J2117" s="559"/>
      <c r="K2117" s="560"/>
      <c r="L2117" s="560"/>
      <c r="M2117" s="560"/>
    </row>
    <row r="2118" spans="3:13" s="338" customFormat="1">
      <c r="C2118" s="558"/>
      <c r="D2118" s="559"/>
      <c r="E2118" s="559"/>
      <c r="F2118" s="559"/>
      <c r="G2118" s="558"/>
      <c r="H2118" s="559"/>
      <c r="I2118" s="559"/>
      <c r="J2118" s="559"/>
      <c r="K2118" s="560"/>
      <c r="L2118" s="560"/>
      <c r="M2118" s="560"/>
    </row>
    <row r="2119" spans="3:13" s="338" customFormat="1">
      <c r="C2119" s="558"/>
      <c r="D2119" s="559"/>
      <c r="E2119" s="559"/>
      <c r="F2119" s="559"/>
      <c r="G2119" s="558"/>
      <c r="H2119" s="559"/>
      <c r="I2119" s="559"/>
      <c r="J2119" s="559"/>
      <c r="K2119" s="560"/>
      <c r="L2119" s="560"/>
      <c r="M2119" s="560"/>
    </row>
    <row r="2120" spans="3:13" s="338" customFormat="1">
      <c r="C2120" s="558"/>
      <c r="D2120" s="559"/>
      <c r="E2120" s="559"/>
      <c r="F2120" s="559"/>
      <c r="G2120" s="558"/>
      <c r="H2120" s="559"/>
      <c r="I2120" s="559"/>
      <c r="J2120" s="559"/>
      <c r="K2120" s="560"/>
      <c r="L2120" s="560"/>
      <c r="M2120" s="560"/>
    </row>
    <row r="2121" spans="3:13" s="338" customFormat="1">
      <c r="C2121" s="558"/>
      <c r="D2121" s="559"/>
      <c r="E2121" s="559"/>
      <c r="F2121" s="559"/>
      <c r="G2121" s="558"/>
      <c r="H2121" s="559"/>
      <c r="I2121" s="559"/>
      <c r="J2121" s="559"/>
      <c r="K2121" s="560"/>
      <c r="L2121" s="560"/>
      <c r="M2121" s="560"/>
    </row>
    <row r="2122" spans="3:13" s="338" customFormat="1">
      <c r="C2122" s="558"/>
      <c r="D2122" s="559"/>
      <c r="E2122" s="559"/>
      <c r="F2122" s="559"/>
      <c r="G2122" s="558"/>
      <c r="H2122" s="559"/>
      <c r="I2122" s="559"/>
      <c r="J2122" s="559"/>
      <c r="K2122" s="560"/>
      <c r="L2122" s="560"/>
      <c r="M2122" s="560"/>
    </row>
    <row r="2123" spans="3:13" s="338" customFormat="1">
      <c r="C2123" s="558"/>
      <c r="D2123" s="559"/>
      <c r="E2123" s="559"/>
      <c r="F2123" s="559"/>
      <c r="G2123" s="558"/>
      <c r="H2123" s="559"/>
      <c r="I2123" s="559"/>
      <c r="J2123" s="559"/>
      <c r="K2123" s="560"/>
      <c r="L2123" s="560"/>
      <c r="M2123" s="560"/>
    </row>
    <row r="2124" spans="3:13" s="338" customFormat="1">
      <c r="C2124" s="558"/>
      <c r="D2124" s="559"/>
      <c r="E2124" s="559"/>
      <c r="F2124" s="559"/>
      <c r="G2124" s="558"/>
      <c r="H2124" s="559"/>
      <c r="I2124" s="559"/>
      <c r="J2124" s="559"/>
      <c r="K2124" s="560"/>
      <c r="L2124" s="560"/>
      <c r="M2124" s="560"/>
    </row>
    <row r="2125" spans="3:13" s="338" customFormat="1">
      <c r="C2125" s="558"/>
      <c r="D2125" s="559"/>
      <c r="E2125" s="559"/>
      <c r="F2125" s="559"/>
      <c r="G2125" s="558"/>
      <c r="H2125" s="559"/>
      <c r="I2125" s="559"/>
      <c r="J2125" s="559"/>
      <c r="K2125" s="560"/>
      <c r="L2125" s="560"/>
      <c r="M2125" s="560"/>
    </row>
    <row r="2126" spans="3:13" s="338" customFormat="1">
      <c r="C2126" s="558"/>
      <c r="D2126" s="559"/>
      <c r="E2126" s="559"/>
      <c r="F2126" s="559"/>
      <c r="G2126" s="558"/>
      <c r="H2126" s="559"/>
      <c r="I2126" s="559"/>
      <c r="J2126" s="559"/>
      <c r="K2126" s="560"/>
      <c r="L2126" s="560"/>
      <c r="M2126" s="560"/>
    </row>
    <row r="2127" spans="3:13" s="338" customFormat="1">
      <c r="C2127" s="558"/>
      <c r="D2127" s="559"/>
      <c r="E2127" s="559"/>
      <c r="F2127" s="559"/>
      <c r="G2127" s="558"/>
      <c r="H2127" s="559"/>
      <c r="I2127" s="559"/>
      <c r="J2127" s="559"/>
      <c r="K2127" s="560"/>
      <c r="L2127" s="560"/>
      <c r="M2127" s="560"/>
    </row>
    <row r="2128" spans="3:13" s="338" customFormat="1">
      <c r="C2128" s="558"/>
      <c r="D2128" s="559"/>
      <c r="E2128" s="559"/>
      <c r="F2128" s="559"/>
      <c r="G2128" s="558"/>
      <c r="H2128" s="559"/>
      <c r="I2128" s="559"/>
      <c r="J2128" s="559"/>
      <c r="K2128" s="560"/>
      <c r="L2128" s="560"/>
      <c r="M2128" s="560"/>
    </row>
    <row r="2129" spans="3:13" s="338" customFormat="1">
      <c r="C2129" s="558"/>
      <c r="D2129" s="559"/>
      <c r="E2129" s="559"/>
      <c r="F2129" s="559"/>
      <c r="G2129" s="558"/>
      <c r="H2129" s="559"/>
      <c r="I2129" s="559"/>
      <c r="J2129" s="559"/>
      <c r="K2129" s="560"/>
      <c r="L2129" s="560"/>
      <c r="M2129" s="560"/>
    </row>
    <row r="2130" spans="3:13" s="338" customFormat="1">
      <c r="C2130" s="558"/>
      <c r="D2130" s="559"/>
      <c r="E2130" s="559"/>
      <c r="F2130" s="559"/>
      <c r="G2130" s="558"/>
      <c r="H2130" s="559"/>
      <c r="I2130" s="559"/>
      <c r="J2130" s="559"/>
      <c r="K2130" s="560"/>
      <c r="L2130" s="560"/>
      <c r="M2130" s="560"/>
    </row>
    <row r="2131" spans="3:13" s="338" customFormat="1">
      <c r="C2131" s="558"/>
      <c r="D2131" s="559"/>
      <c r="E2131" s="559"/>
      <c r="F2131" s="559"/>
      <c r="G2131" s="558"/>
      <c r="H2131" s="559"/>
      <c r="I2131" s="559"/>
      <c r="J2131" s="559"/>
      <c r="K2131" s="560"/>
      <c r="L2131" s="560"/>
      <c r="M2131" s="560"/>
    </row>
    <row r="2132" spans="3:13" s="338" customFormat="1">
      <c r="C2132" s="558"/>
      <c r="D2132" s="559"/>
      <c r="E2132" s="559"/>
      <c r="F2132" s="559"/>
      <c r="G2132" s="558"/>
      <c r="H2132" s="559"/>
      <c r="I2132" s="559"/>
      <c r="J2132" s="559"/>
      <c r="K2132" s="560"/>
      <c r="L2132" s="560"/>
      <c r="M2132" s="560"/>
    </row>
    <row r="2133" spans="3:13" s="338" customFormat="1">
      <c r="C2133" s="558"/>
      <c r="D2133" s="559"/>
      <c r="E2133" s="559"/>
      <c r="F2133" s="559"/>
      <c r="G2133" s="558"/>
      <c r="H2133" s="559"/>
      <c r="I2133" s="559"/>
      <c r="J2133" s="559"/>
      <c r="K2133" s="560"/>
      <c r="L2133" s="560"/>
      <c r="M2133" s="560"/>
    </row>
    <row r="2134" spans="3:13" s="338" customFormat="1">
      <c r="C2134" s="558"/>
      <c r="D2134" s="559"/>
      <c r="E2134" s="559"/>
      <c r="F2134" s="559"/>
      <c r="G2134" s="558"/>
      <c r="H2134" s="559"/>
      <c r="I2134" s="559"/>
      <c r="J2134" s="559"/>
      <c r="K2134" s="560"/>
      <c r="L2134" s="560"/>
      <c r="M2134" s="560"/>
    </row>
    <row r="2135" spans="3:13" s="338" customFormat="1">
      <c r="C2135" s="558"/>
      <c r="D2135" s="559"/>
      <c r="E2135" s="559"/>
      <c r="F2135" s="559"/>
      <c r="G2135" s="558"/>
      <c r="H2135" s="559"/>
      <c r="I2135" s="559"/>
      <c r="J2135" s="559"/>
      <c r="K2135" s="560"/>
      <c r="L2135" s="560"/>
      <c r="M2135" s="560"/>
    </row>
    <row r="2136" spans="3:13" s="338" customFormat="1">
      <c r="C2136" s="558"/>
      <c r="D2136" s="559"/>
      <c r="E2136" s="559"/>
      <c r="F2136" s="559"/>
      <c r="G2136" s="558"/>
      <c r="H2136" s="559"/>
      <c r="I2136" s="559"/>
      <c r="J2136" s="559"/>
      <c r="K2136" s="560"/>
      <c r="L2136" s="560"/>
      <c r="M2136" s="560"/>
    </row>
    <row r="2137" spans="3:13" s="338" customFormat="1">
      <c r="C2137" s="558"/>
      <c r="D2137" s="559"/>
      <c r="E2137" s="559"/>
      <c r="F2137" s="559"/>
      <c r="G2137" s="558"/>
      <c r="H2137" s="559"/>
      <c r="I2137" s="559"/>
      <c r="J2137" s="559"/>
      <c r="K2137" s="560"/>
      <c r="L2137" s="560"/>
      <c r="M2137" s="560"/>
    </row>
    <row r="2138" spans="3:13" s="338" customFormat="1">
      <c r="C2138" s="558"/>
      <c r="D2138" s="559"/>
      <c r="E2138" s="559"/>
      <c r="F2138" s="559"/>
      <c r="G2138" s="558"/>
      <c r="H2138" s="559"/>
      <c r="I2138" s="559"/>
      <c r="J2138" s="559"/>
      <c r="K2138" s="560"/>
      <c r="L2138" s="560"/>
      <c r="M2138" s="560"/>
    </row>
    <row r="2139" spans="3:13" s="338" customFormat="1">
      <c r="C2139" s="558"/>
      <c r="D2139" s="559"/>
      <c r="E2139" s="559"/>
      <c r="F2139" s="559"/>
      <c r="G2139" s="558"/>
      <c r="H2139" s="559"/>
      <c r="I2139" s="559"/>
      <c r="J2139" s="559"/>
      <c r="K2139" s="560"/>
      <c r="L2139" s="560"/>
      <c r="M2139" s="560"/>
    </row>
    <row r="2140" spans="3:13" s="338" customFormat="1">
      <c r="C2140" s="558"/>
      <c r="D2140" s="559"/>
      <c r="E2140" s="559"/>
      <c r="F2140" s="559"/>
      <c r="G2140" s="558"/>
      <c r="H2140" s="559"/>
      <c r="I2140" s="559"/>
      <c r="J2140" s="559"/>
      <c r="K2140" s="560"/>
      <c r="L2140" s="560"/>
      <c r="M2140" s="560"/>
    </row>
    <row r="2141" spans="3:13" s="338" customFormat="1">
      <c r="C2141" s="558"/>
      <c r="D2141" s="559"/>
      <c r="E2141" s="559"/>
      <c r="F2141" s="559"/>
      <c r="G2141" s="558"/>
      <c r="H2141" s="559"/>
      <c r="I2141" s="559"/>
      <c r="J2141" s="559"/>
      <c r="K2141" s="560"/>
      <c r="L2141" s="560"/>
      <c r="M2141" s="560"/>
    </row>
    <row r="2142" spans="3:13" s="338" customFormat="1">
      <c r="C2142" s="558"/>
      <c r="D2142" s="559"/>
      <c r="E2142" s="559"/>
      <c r="F2142" s="559"/>
      <c r="G2142" s="558"/>
      <c r="H2142" s="559"/>
      <c r="I2142" s="559"/>
      <c r="J2142" s="559"/>
      <c r="K2142" s="560"/>
      <c r="L2142" s="560"/>
      <c r="M2142" s="560"/>
    </row>
    <row r="2143" spans="3:13" s="338" customFormat="1">
      <c r="C2143" s="558"/>
      <c r="D2143" s="559"/>
      <c r="E2143" s="559"/>
      <c r="F2143" s="559"/>
      <c r="G2143" s="558"/>
      <c r="H2143" s="559"/>
      <c r="I2143" s="559"/>
      <c r="J2143" s="559"/>
      <c r="K2143" s="560"/>
      <c r="L2143" s="560"/>
      <c r="M2143" s="560"/>
    </row>
    <row r="2144" spans="3:13" s="338" customFormat="1">
      <c r="C2144" s="558"/>
      <c r="D2144" s="559"/>
      <c r="E2144" s="559"/>
      <c r="F2144" s="559"/>
      <c r="G2144" s="558"/>
      <c r="H2144" s="559"/>
      <c r="I2144" s="559"/>
      <c r="J2144" s="559"/>
      <c r="K2144" s="560"/>
      <c r="L2144" s="560"/>
      <c r="M2144" s="560"/>
    </row>
    <row r="2145" spans="3:13" s="338" customFormat="1">
      <c r="C2145" s="558"/>
      <c r="D2145" s="559"/>
      <c r="E2145" s="559"/>
      <c r="F2145" s="559"/>
      <c r="G2145" s="558"/>
      <c r="H2145" s="559"/>
      <c r="I2145" s="559"/>
      <c r="J2145" s="559"/>
      <c r="K2145" s="560"/>
      <c r="L2145" s="560"/>
      <c r="M2145" s="560"/>
    </row>
    <row r="2146" spans="3:13" s="338" customFormat="1">
      <c r="C2146" s="558"/>
      <c r="D2146" s="559"/>
      <c r="E2146" s="559"/>
      <c r="F2146" s="559"/>
      <c r="G2146" s="558"/>
      <c r="H2146" s="559"/>
      <c r="I2146" s="559"/>
      <c r="J2146" s="559"/>
      <c r="K2146" s="560"/>
      <c r="L2146" s="560"/>
      <c r="M2146" s="560"/>
    </row>
    <row r="2147" spans="3:13" s="338" customFormat="1">
      <c r="C2147" s="558"/>
      <c r="D2147" s="559"/>
      <c r="E2147" s="559"/>
      <c r="F2147" s="559"/>
      <c r="G2147" s="558"/>
      <c r="H2147" s="559"/>
      <c r="I2147" s="559"/>
      <c r="J2147" s="559"/>
      <c r="K2147" s="560"/>
      <c r="L2147" s="560"/>
      <c r="M2147" s="560"/>
    </row>
    <row r="2148" spans="3:13" s="338" customFormat="1">
      <c r="C2148" s="558"/>
      <c r="D2148" s="559"/>
      <c r="E2148" s="559"/>
      <c r="F2148" s="559"/>
      <c r="G2148" s="558"/>
      <c r="H2148" s="559"/>
      <c r="I2148" s="559"/>
      <c r="J2148" s="559"/>
      <c r="K2148" s="560"/>
      <c r="L2148" s="560"/>
      <c r="M2148" s="560"/>
    </row>
    <row r="2149" spans="3:13" s="338" customFormat="1">
      <c r="C2149" s="558"/>
      <c r="D2149" s="559"/>
      <c r="E2149" s="559"/>
      <c r="F2149" s="559"/>
      <c r="G2149" s="558"/>
      <c r="H2149" s="559"/>
      <c r="I2149" s="559"/>
      <c r="J2149" s="559"/>
      <c r="K2149" s="560"/>
      <c r="L2149" s="560"/>
      <c r="M2149" s="560"/>
    </row>
    <row r="2150" spans="3:13" s="338" customFormat="1">
      <c r="C2150" s="558"/>
      <c r="D2150" s="559"/>
      <c r="E2150" s="559"/>
      <c r="F2150" s="559"/>
      <c r="G2150" s="558"/>
      <c r="H2150" s="559"/>
      <c r="I2150" s="559"/>
      <c r="J2150" s="559"/>
      <c r="K2150" s="560"/>
      <c r="L2150" s="560"/>
      <c r="M2150" s="560"/>
    </row>
    <row r="2151" spans="3:13" s="338" customFormat="1">
      <c r="C2151" s="558"/>
      <c r="D2151" s="559"/>
      <c r="E2151" s="559"/>
      <c r="F2151" s="559"/>
      <c r="G2151" s="558"/>
      <c r="H2151" s="559"/>
      <c r="I2151" s="559"/>
      <c r="J2151" s="559"/>
      <c r="K2151" s="560"/>
      <c r="L2151" s="560"/>
      <c r="M2151" s="560"/>
    </row>
    <row r="2152" spans="3:13" s="338" customFormat="1">
      <c r="C2152" s="558"/>
      <c r="D2152" s="559"/>
      <c r="E2152" s="559"/>
      <c r="F2152" s="559"/>
      <c r="G2152" s="558"/>
      <c r="H2152" s="559"/>
      <c r="I2152" s="559"/>
      <c r="J2152" s="559"/>
      <c r="K2152" s="560"/>
      <c r="L2152" s="560"/>
      <c r="M2152" s="560"/>
    </row>
    <row r="2153" spans="3:13" s="338" customFormat="1">
      <c r="C2153" s="558"/>
      <c r="D2153" s="559"/>
      <c r="E2153" s="559"/>
      <c r="F2153" s="559"/>
      <c r="G2153" s="558"/>
      <c r="H2153" s="559"/>
      <c r="I2153" s="559"/>
      <c r="J2153" s="559"/>
      <c r="K2153" s="560"/>
      <c r="L2153" s="560"/>
      <c r="M2153" s="560"/>
    </row>
    <row r="2154" spans="3:13" s="338" customFormat="1">
      <c r="C2154" s="558"/>
      <c r="D2154" s="559"/>
      <c r="E2154" s="559"/>
      <c r="F2154" s="559"/>
      <c r="G2154" s="558"/>
      <c r="H2154" s="559"/>
      <c r="I2154" s="559"/>
      <c r="J2154" s="559"/>
      <c r="K2154" s="560"/>
      <c r="L2154" s="560"/>
      <c r="M2154" s="560"/>
    </row>
    <row r="2155" spans="3:13" s="338" customFormat="1">
      <c r="C2155" s="558"/>
      <c r="D2155" s="559"/>
      <c r="E2155" s="559"/>
      <c r="F2155" s="559"/>
      <c r="G2155" s="558"/>
      <c r="H2155" s="559"/>
      <c r="I2155" s="559"/>
      <c r="J2155" s="559"/>
      <c r="K2155" s="560"/>
      <c r="L2155" s="560"/>
      <c r="M2155" s="560"/>
    </row>
    <row r="2156" spans="3:13" s="338" customFormat="1">
      <c r="C2156" s="558"/>
      <c r="D2156" s="559"/>
      <c r="E2156" s="559"/>
      <c r="F2156" s="559"/>
      <c r="G2156" s="558"/>
      <c r="H2156" s="559"/>
      <c r="I2156" s="559"/>
      <c r="J2156" s="559"/>
      <c r="K2156" s="560"/>
      <c r="L2156" s="560"/>
      <c r="M2156" s="560"/>
    </row>
    <row r="2157" spans="3:13" s="338" customFormat="1">
      <c r="C2157" s="558"/>
      <c r="D2157" s="559"/>
      <c r="E2157" s="559"/>
      <c r="F2157" s="559"/>
      <c r="G2157" s="558"/>
      <c r="H2157" s="559"/>
      <c r="I2157" s="559"/>
      <c r="J2157" s="559"/>
      <c r="K2157" s="560"/>
      <c r="L2157" s="560"/>
      <c r="M2157" s="560"/>
    </row>
    <row r="2158" spans="3:13" s="338" customFormat="1">
      <c r="C2158" s="558"/>
      <c r="D2158" s="559"/>
      <c r="E2158" s="559"/>
      <c r="F2158" s="559"/>
      <c r="G2158" s="558"/>
      <c r="H2158" s="559"/>
      <c r="I2158" s="559"/>
      <c r="J2158" s="559"/>
      <c r="K2158" s="560"/>
      <c r="L2158" s="560"/>
      <c r="M2158" s="560"/>
    </row>
    <row r="2159" spans="3:13" s="338" customFormat="1">
      <c r="C2159" s="558"/>
      <c r="D2159" s="559"/>
      <c r="E2159" s="559"/>
      <c r="F2159" s="559"/>
      <c r="G2159" s="558"/>
      <c r="H2159" s="559"/>
      <c r="I2159" s="559"/>
      <c r="J2159" s="559"/>
      <c r="K2159" s="560"/>
      <c r="L2159" s="560"/>
      <c r="M2159" s="560"/>
    </row>
    <row r="2160" spans="3:13" s="338" customFormat="1">
      <c r="C2160" s="558"/>
      <c r="D2160" s="559"/>
      <c r="E2160" s="559"/>
      <c r="F2160" s="559"/>
      <c r="G2160" s="558"/>
      <c r="H2160" s="559"/>
      <c r="I2160" s="559"/>
      <c r="J2160" s="559"/>
      <c r="K2160" s="560"/>
      <c r="L2160" s="560"/>
      <c r="M2160" s="560"/>
    </row>
    <row r="2161" spans="3:13" s="338" customFormat="1">
      <c r="C2161" s="558"/>
      <c r="D2161" s="559"/>
      <c r="E2161" s="559"/>
      <c r="F2161" s="559"/>
      <c r="G2161" s="558"/>
      <c r="H2161" s="559"/>
      <c r="I2161" s="559"/>
      <c r="J2161" s="559"/>
      <c r="K2161" s="560"/>
      <c r="L2161" s="560"/>
      <c r="M2161" s="560"/>
    </row>
    <row r="2162" spans="3:13" s="338" customFormat="1">
      <c r="C2162" s="558"/>
      <c r="D2162" s="559"/>
      <c r="E2162" s="559"/>
      <c r="F2162" s="559"/>
      <c r="G2162" s="558"/>
      <c r="H2162" s="559"/>
      <c r="I2162" s="559"/>
      <c r="J2162" s="559"/>
      <c r="K2162" s="560"/>
      <c r="L2162" s="560"/>
      <c r="M2162" s="560"/>
    </row>
    <row r="2163" spans="3:13" s="338" customFormat="1">
      <c r="C2163" s="558"/>
      <c r="D2163" s="559"/>
      <c r="E2163" s="559"/>
      <c r="F2163" s="559"/>
      <c r="G2163" s="558"/>
      <c r="H2163" s="559"/>
      <c r="I2163" s="559"/>
      <c r="J2163" s="559"/>
      <c r="K2163" s="560"/>
      <c r="L2163" s="560"/>
      <c r="M2163" s="560"/>
    </row>
    <row r="2164" spans="3:13" s="338" customFormat="1">
      <c r="C2164" s="558"/>
      <c r="D2164" s="559"/>
      <c r="E2164" s="559"/>
      <c r="F2164" s="559"/>
      <c r="G2164" s="558"/>
      <c r="H2164" s="559"/>
      <c r="I2164" s="559"/>
      <c r="J2164" s="559"/>
      <c r="K2164" s="560"/>
      <c r="L2164" s="560"/>
      <c r="M2164" s="560"/>
    </row>
    <row r="2165" spans="3:13" s="338" customFormat="1">
      <c r="C2165" s="558"/>
      <c r="D2165" s="559"/>
      <c r="E2165" s="559"/>
      <c r="F2165" s="559"/>
      <c r="G2165" s="558"/>
      <c r="H2165" s="559"/>
      <c r="I2165" s="559"/>
      <c r="J2165" s="559"/>
      <c r="K2165" s="560"/>
      <c r="L2165" s="560"/>
      <c r="M2165" s="560"/>
    </row>
    <row r="2166" spans="3:13" s="338" customFormat="1">
      <c r="C2166" s="558"/>
      <c r="D2166" s="559"/>
      <c r="E2166" s="559"/>
      <c r="F2166" s="559"/>
      <c r="G2166" s="558"/>
      <c r="H2166" s="559"/>
      <c r="I2166" s="559"/>
      <c r="J2166" s="559"/>
      <c r="K2166" s="560"/>
      <c r="L2166" s="560"/>
      <c r="M2166" s="560"/>
    </row>
    <row r="2167" spans="3:13" s="338" customFormat="1">
      <c r="C2167" s="558"/>
      <c r="D2167" s="559"/>
      <c r="E2167" s="559"/>
      <c r="F2167" s="559"/>
      <c r="G2167" s="558"/>
      <c r="H2167" s="559"/>
      <c r="I2167" s="559"/>
      <c r="J2167" s="559"/>
      <c r="K2167" s="560"/>
      <c r="L2167" s="560"/>
      <c r="M2167" s="560"/>
    </row>
    <row r="2168" spans="3:13" s="338" customFormat="1">
      <c r="C2168" s="558"/>
      <c r="D2168" s="559"/>
      <c r="E2168" s="559"/>
      <c r="F2168" s="559"/>
      <c r="G2168" s="558"/>
      <c r="H2168" s="559"/>
      <c r="I2168" s="559"/>
      <c r="J2168" s="559"/>
      <c r="K2168" s="560"/>
      <c r="L2168" s="560"/>
      <c r="M2168" s="560"/>
    </row>
    <row r="2169" spans="3:13" s="338" customFormat="1">
      <c r="C2169" s="558"/>
      <c r="D2169" s="559"/>
      <c r="E2169" s="559"/>
      <c r="F2169" s="559"/>
      <c r="G2169" s="558"/>
      <c r="H2169" s="559"/>
      <c r="I2169" s="559"/>
      <c r="J2169" s="559"/>
      <c r="K2169" s="560"/>
      <c r="L2169" s="560"/>
      <c r="M2169" s="560"/>
    </row>
    <row r="2170" spans="3:13" s="338" customFormat="1">
      <c r="C2170" s="558"/>
      <c r="D2170" s="559"/>
      <c r="E2170" s="559"/>
      <c r="F2170" s="559"/>
      <c r="G2170" s="558"/>
      <c r="H2170" s="559"/>
      <c r="I2170" s="559"/>
      <c r="J2170" s="559"/>
      <c r="K2170" s="560"/>
      <c r="L2170" s="560"/>
      <c r="M2170" s="560"/>
    </row>
    <row r="2171" spans="3:13" s="338" customFormat="1">
      <c r="C2171" s="558"/>
      <c r="D2171" s="559"/>
      <c r="E2171" s="559"/>
      <c r="F2171" s="559"/>
      <c r="G2171" s="558"/>
      <c r="H2171" s="559"/>
      <c r="I2171" s="559"/>
      <c r="J2171" s="559"/>
      <c r="K2171" s="560"/>
      <c r="L2171" s="560"/>
      <c r="M2171" s="560"/>
    </row>
    <row r="2172" spans="3:13" s="338" customFormat="1">
      <c r="C2172" s="558"/>
      <c r="D2172" s="559"/>
      <c r="E2172" s="559"/>
      <c r="F2172" s="559"/>
      <c r="G2172" s="558"/>
      <c r="H2172" s="559"/>
      <c r="I2172" s="559"/>
      <c r="J2172" s="559"/>
      <c r="K2172" s="560"/>
      <c r="L2172" s="560"/>
      <c r="M2172" s="560"/>
    </row>
    <row r="2173" spans="3:13" s="338" customFormat="1">
      <c r="C2173" s="558"/>
      <c r="D2173" s="559"/>
      <c r="E2173" s="559"/>
      <c r="F2173" s="559"/>
      <c r="G2173" s="558"/>
      <c r="H2173" s="559"/>
      <c r="I2173" s="559"/>
      <c r="J2173" s="559"/>
      <c r="K2173" s="560"/>
      <c r="L2173" s="560"/>
      <c r="M2173" s="560"/>
    </row>
    <row r="2174" spans="3:13" s="338" customFormat="1">
      <c r="C2174" s="558"/>
      <c r="D2174" s="559"/>
      <c r="E2174" s="559"/>
      <c r="F2174" s="559"/>
      <c r="G2174" s="558"/>
      <c r="H2174" s="559"/>
      <c r="I2174" s="559"/>
      <c r="J2174" s="559"/>
      <c r="K2174" s="560"/>
      <c r="L2174" s="560"/>
      <c r="M2174" s="560"/>
    </row>
    <row r="2175" spans="3:13" s="338" customFormat="1">
      <c r="C2175" s="558"/>
      <c r="D2175" s="559"/>
      <c r="E2175" s="559"/>
      <c r="F2175" s="559"/>
      <c r="G2175" s="558"/>
      <c r="H2175" s="559"/>
      <c r="I2175" s="559"/>
      <c r="J2175" s="559"/>
      <c r="K2175" s="560"/>
      <c r="L2175" s="560"/>
      <c r="M2175" s="560"/>
    </row>
    <row r="2176" spans="3:13" s="338" customFormat="1">
      <c r="C2176" s="558"/>
      <c r="D2176" s="559"/>
      <c r="E2176" s="559"/>
      <c r="F2176" s="559"/>
      <c r="G2176" s="558"/>
      <c r="H2176" s="559"/>
      <c r="I2176" s="559"/>
      <c r="J2176" s="559"/>
      <c r="K2176" s="560"/>
      <c r="L2176" s="560"/>
      <c r="M2176" s="560"/>
    </row>
    <row r="2177" spans="3:13" s="338" customFormat="1">
      <c r="C2177" s="558"/>
      <c r="D2177" s="559"/>
      <c r="E2177" s="559"/>
      <c r="F2177" s="559"/>
      <c r="G2177" s="558"/>
      <c r="H2177" s="559"/>
      <c r="I2177" s="559"/>
      <c r="J2177" s="559"/>
      <c r="K2177" s="560"/>
      <c r="L2177" s="560"/>
      <c r="M2177" s="560"/>
    </row>
    <row r="2178" spans="3:13" s="338" customFormat="1">
      <c r="C2178" s="558"/>
      <c r="D2178" s="559"/>
      <c r="E2178" s="559"/>
      <c r="F2178" s="559"/>
      <c r="G2178" s="558"/>
      <c r="H2178" s="559"/>
      <c r="I2178" s="559"/>
      <c r="J2178" s="559"/>
      <c r="K2178" s="560"/>
      <c r="L2178" s="560"/>
      <c r="M2178" s="560"/>
    </row>
    <row r="2179" spans="3:13" s="338" customFormat="1">
      <c r="C2179" s="558"/>
      <c r="D2179" s="559"/>
      <c r="E2179" s="559"/>
      <c r="F2179" s="559"/>
      <c r="G2179" s="558"/>
      <c r="H2179" s="559"/>
      <c r="I2179" s="559"/>
      <c r="J2179" s="559"/>
      <c r="K2179" s="560"/>
      <c r="L2179" s="560"/>
      <c r="M2179" s="560"/>
    </row>
    <row r="2180" spans="3:13" s="338" customFormat="1">
      <c r="C2180" s="558"/>
      <c r="D2180" s="559"/>
      <c r="E2180" s="559"/>
      <c r="F2180" s="559"/>
      <c r="G2180" s="558"/>
      <c r="H2180" s="559"/>
      <c r="I2180" s="559"/>
      <c r="J2180" s="559"/>
      <c r="K2180" s="560"/>
      <c r="L2180" s="560"/>
      <c r="M2180" s="560"/>
    </row>
    <row r="2181" spans="3:13" s="338" customFormat="1">
      <c r="C2181" s="558"/>
      <c r="D2181" s="559"/>
      <c r="E2181" s="559"/>
      <c r="F2181" s="559"/>
      <c r="G2181" s="558"/>
      <c r="H2181" s="559"/>
      <c r="I2181" s="559"/>
      <c r="J2181" s="559"/>
      <c r="K2181" s="560"/>
      <c r="L2181" s="560"/>
      <c r="M2181" s="560"/>
    </row>
    <row r="2182" spans="3:13" s="338" customFormat="1">
      <c r="C2182" s="558"/>
      <c r="D2182" s="559"/>
      <c r="E2182" s="559"/>
      <c r="F2182" s="559"/>
      <c r="G2182" s="558"/>
      <c r="H2182" s="559"/>
      <c r="I2182" s="559"/>
      <c r="J2182" s="559"/>
      <c r="K2182" s="560"/>
      <c r="L2182" s="560"/>
      <c r="M2182" s="560"/>
    </row>
    <row r="2183" spans="3:13" s="338" customFormat="1">
      <c r="C2183" s="558"/>
      <c r="D2183" s="559"/>
      <c r="E2183" s="559"/>
      <c r="F2183" s="559"/>
      <c r="G2183" s="558"/>
      <c r="H2183" s="559"/>
      <c r="I2183" s="559"/>
      <c r="J2183" s="559"/>
      <c r="K2183" s="560"/>
      <c r="L2183" s="560"/>
      <c r="M2183" s="560"/>
    </row>
    <row r="2184" spans="3:13" s="338" customFormat="1">
      <c r="C2184" s="558"/>
      <c r="D2184" s="559"/>
      <c r="E2184" s="559"/>
      <c r="F2184" s="559"/>
      <c r="G2184" s="558"/>
      <c r="H2184" s="559"/>
      <c r="I2184" s="559"/>
      <c r="J2184" s="559"/>
      <c r="K2184" s="560"/>
      <c r="L2184" s="560"/>
      <c r="M2184" s="560"/>
    </row>
    <row r="2185" spans="3:13" s="338" customFormat="1">
      <c r="C2185" s="558"/>
      <c r="D2185" s="559"/>
      <c r="E2185" s="559"/>
      <c r="F2185" s="559"/>
      <c r="G2185" s="558"/>
      <c r="H2185" s="559"/>
      <c r="I2185" s="559"/>
      <c r="J2185" s="559"/>
      <c r="K2185" s="560"/>
      <c r="L2185" s="560"/>
      <c r="M2185" s="560"/>
    </row>
    <row r="2186" spans="3:13" s="338" customFormat="1">
      <c r="C2186" s="558"/>
      <c r="D2186" s="559"/>
      <c r="E2186" s="559"/>
      <c r="F2186" s="559"/>
      <c r="G2186" s="558"/>
      <c r="H2186" s="559"/>
      <c r="I2186" s="559"/>
      <c r="J2186" s="559"/>
      <c r="K2186" s="560"/>
      <c r="L2186" s="560"/>
      <c r="M2186" s="560"/>
    </row>
    <row r="2187" spans="3:13" s="338" customFormat="1">
      <c r="C2187" s="558"/>
      <c r="D2187" s="559"/>
      <c r="E2187" s="559"/>
      <c r="F2187" s="559"/>
      <c r="G2187" s="558"/>
      <c r="H2187" s="559"/>
      <c r="I2187" s="559"/>
      <c r="J2187" s="559"/>
      <c r="K2187" s="560"/>
      <c r="L2187" s="560"/>
      <c r="M2187" s="560"/>
    </row>
    <row r="2188" spans="3:13" s="338" customFormat="1">
      <c r="C2188" s="558"/>
      <c r="D2188" s="559"/>
      <c r="E2188" s="559"/>
      <c r="F2188" s="559"/>
      <c r="G2188" s="558"/>
      <c r="H2188" s="559"/>
      <c r="I2188" s="559"/>
      <c r="J2188" s="559"/>
      <c r="K2188" s="560"/>
      <c r="L2188" s="560"/>
      <c r="M2188" s="560"/>
    </row>
    <row r="2189" spans="3:13" s="338" customFormat="1">
      <c r="C2189" s="558"/>
      <c r="D2189" s="559"/>
      <c r="E2189" s="559"/>
      <c r="F2189" s="559"/>
      <c r="G2189" s="558"/>
      <c r="H2189" s="559"/>
      <c r="I2189" s="559"/>
      <c r="J2189" s="559"/>
      <c r="K2189" s="560"/>
      <c r="L2189" s="560"/>
      <c r="M2189" s="560"/>
    </row>
    <row r="2190" spans="3:13" s="338" customFormat="1">
      <c r="C2190" s="558"/>
      <c r="D2190" s="559"/>
      <c r="E2190" s="559"/>
      <c r="F2190" s="559"/>
      <c r="G2190" s="558"/>
      <c r="H2190" s="559"/>
      <c r="I2190" s="559"/>
      <c r="J2190" s="559"/>
      <c r="K2190" s="560"/>
      <c r="L2190" s="560"/>
      <c r="M2190" s="560"/>
    </row>
    <row r="2191" spans="3:13" s="338" customFormat="1">
      <c r="C2191" s="558"/>
      <c r="D2191" s="559"/>
      <c r="E2191" s="559"/>
      <c r="F2191" s="559"/>
      <c r="G2191" s="558"/>
      <c r="H2191" s="559"/>
      <c r="I2191" s="559"/>
      <c r="J2191" s="559"/>
      <c r="K2191" s="560"/>
      <c r="L2191" s="560"/>
      <c r="M2191" s="560"/>
    </row>
    <row r="2192" spans="3:13" s="338" customFormat="1">
      <c r="C2192" s="558"/>
      <c r="D2192" s="559"/>
      <c r="E2192" s="559"/>
      <c r="F2192" s="559"/>
      <c r="G2192" s="558"/>
      <c r="H2192" s="559"/>
      <c r="I2192" s="559"/>
      <c r="J2192" s="559"/>
      <c r="K2192" s="560"/>
      <c r="L2192" s="560"/>
      <c r="M2192" s="560"/>
    </row>
    <row r="2193" spans="3:13" s="338" customFormat="1">
      <c r="C2193" s="558"/>
      <c r="D2193" s="559"/>
      <c r="E2193" s="559"/>
      <c r="F2193" s="559"/>
      <c r="G2193" s="558"/>
      <c r="H2193" s="559"/>
      <c r="I2193" s="559"/>
      <c r="J2193" s="559"/>
      <c r="K2193" s="560"/>
      <c r="L2193" s="560"/>
      <c r="M2193" s="560"/>
    </row>
    <row r="2194" spans="3:13" s="338" customFormat="1">
      <c r="C2194" s="558"/>
      <c r="D2194" s="559"/>
      <c r="E2194" s="559"/>
      <c r="F2194" s="559"/>
      <c r="G2194" s="558"/>
      <c r="H2194" s="559"/>
      <c r="I2194" s="559"/>
      <c r="J2194" s="559"/>
      <c r="K2194" s="560"/>
      <c r="L2194" s="560"/>
      <c r="M2194" s="560"/>
    </row>
    <row r="2195" spans="3:13" s="338" customFormat="1">
      <c r="C2195" s="558"/>
      <c r="D2195" s="559"/>
      <c r="E2195" s="559"/>
      <c r="F2195" s="559"/>
      <c r="G2195" s="558"/>
      <c r="H2195" s="559"/>
      <c r="I2195" s="559"/>
      <c r="J2195" s="559"/>
      <c r="K2195" s="560"/>
      <c r="L2195" s="560"/>
      <c r="M2195" s="560"/>
    </row>
    <row r="2196" spans="3:13" s="338" customFormat="1">
      <c r="C2196" s="558"/>
      <c r="D2196" s="559"/>
      <c r="E2196" s="559"/>
      <c r="F2196" s="559"/>
      <c r="G2196" s="558"/>
      <c r="H2196" s="559"/>
      <c r="I2196" s="559"/>
      <c r="J2196" s="559"/>
      <c r="K2196" s="560"/>
      <c r="L2196" s="560"/>
      <c r="M2196" s="560"/>
    </row>
    <row r="2197" spans="3:13" s="338" customFormat="1">
      <c r="C2197" s="558"/>
      <c r="D2197" s="559"/>
      <c r="E2197" s="559"/>
      <c r="F2197" s="559"/>
      <c r="G2197" s="558"/>
      <c r="H2197" s="559"/>
      <c r="I2197" s="559"/>
      <c r="J2197" s="559"/>
      <c r="K2197" s="560"/>
      <c r="L2197" s="560"/>
      <c r="M2197" s="560"/>
    </row>
    <row r="2198" spans="3:13" s="338" customFormat="1">
      <c r="C2198" s="558"/>
      <c r="D2198" s="559"/>
      <c r="E2198" s="559"/>
      <c r="F2198" s="559"/>
      <c r="G2198" s="558"/>
      <c r="H2198" s="559"/>
      <c r="I2198" s="559"/>
      <c r="J2198" s="559"/>
      <c r="K2198" s="560"/>
      <c r="L2198" s="560"/>
      <c r="M2198" s="560"/>
    </row>
    <row r="2199" spans="3:13" s="338" customFormat="1">
      <c r="C2199" s="558"/>
      <c r="D2199" s="559"/>
      <c r="E2199" s="559"/>
      <c r="F2199" s="559"/>
      <c r="G2199" s="558"/>
      <c r="H2199" s="559"/>
      <c r="I2199" s="559"/>
      <c r="J2199" s="559"/>
      <c r="K2199" s="560"/>
      <c r="L2199" s="560"/>
      <c r="M2199" s="560"/>
    </row>
    <row r="2200" spans="3:13" s="338" customFormat="1">
      <c r="C2200" s="558"/>
      <c r="D2200" s="559"/>
      <c r="E2200" s="559"/>
      <c r="F2200" s="559"/>
      <c r="G2200" s="558"/>
      <c r="H2200" s="559"/>
      <c r="I2200" s="559"/>
      <c r="J2200" s="559"/>
      <c r="K2200" s="560"/>
      <c r="L2200" s="560"/>
      <c r="M2200" s="560"/>
    </row>
    <row r="2201" spans="3:13" s="338" customFormat="1">
      <c r="C2201" s="558"/>
      <c r="D2201" s="559"/>
      <c r="E2201" s="559"/>
      <c r="F2201" s="559"/>
      <c r="G2201" s="558"/>
      <c r="H2201" s="559"/>
      <c r="I2201" s="559"/>
      <c r="J2201" s="559"/>
      <c r="K2201" s="560"/>
      <c r="L2201" s="560"/>
      <c r="M2201" s="560"/>
    </row>
    <row r="2202" spans="3:13" s="338" customFormat="1">
      <c r="C2202" s="558"/>
      <c r="D2202" s="559"/>
      <c r="E2202" s="559"/>
      <c r="F2202" s="559"/>
      <c r="G2202" s="558"/>
      <c r="H2202" s="559"/>
      <c r="I2202" s="559"/>
      <c r="J2202" s="559"/>
      <c r="K2202" s="560"/>
      <c r="L2202" s="560"/>
      <c r="M2202" s="560"/>
    </row>
    <row r="2203" spans="3:13" s="338" customFormat="1">
      <c r="C2203" s="558"/>
      <c r="D2203" s="559"/>
      <c r="E2203" s="559"/>
      <c r="F2203" s="559"/>
      <c r="G2203" s="558"/>
      <c r="H2203" s="559"/>
      <c r="I2203" s="559"/>
      <c r="J2203" s="559"/>
      <c r="K2203" s="560"/>
      <c r="L2203" s="560"/>
      <c r="M2203" s="560"/>
    </row>
    <row r="2204" spans="3:13" s="338" customFormat="1">
      <c r="C2204" s="558"/>
      <c r="D2204" s="559"/>
      <c r="E2204" s="559"/>
      <c r="F2204" s="559"/>
      <c r="G2204" s="558"/>
      <c r="H2204" s="559"/>
      <c r="I2204" s="559"/>
      <c r="J2204" s="559"/>
      <c r="K2204" s="560"/>
      <c r="L2204" s="560"/>
      <c r="M2204" s="560"/>
    </row>
    <row r="2205" spans="3:13" s="338" customFormat="1">
      <c r="C2205" s="558"/>
      <c r="D2205" s="559"/>
      <c r="E2205" s="559"/>
      <c r="F2205" s="559"/>
      <c r="G2205" s="558"/>
      <c r="H2205" s="559"/>
      <c r="I2205" s="559"/>
      <c r="J2205" s="559"/>
      <c r="K2205" s="560"/>
      <c r="L2205" s="560"/>
      <c r="M2205" s="560"/>
    </row>
    <row r="2206" spans="3:13" s="338" customFormat="1">
      <c r="C2206" s="558"/>
      <c r="D2206" s="559"/>
      <c r="E2206" s="559"/>
      <c r="F2206" s="559"/>
      <c r="G2206" s="558"/>
      <c r="H2206" s="559"/>
      <c r="I2206" s="559"/>
      <c r="J2206" s="559"/>
      <c r="K2206" s="560"/>
      <c r="L2206" s="560"/>
      <c r="M2206" s="560"/>
    </row>
    <row r="2207" spans="3:13" s="338" customFormat="1">
      <c r="C2207" s="558"/>
      <c r="D2207" s="559"/>
      <c r="E2207" s="559"/>
      <c r="F2207" s="559"/>
      <c r="G2207" s="558"/>
      <c r="H2207" s="559"/>
      <c r="I2207" s="559"/>
      <c r="J2207" s="559"/>
      <c r="K2207" s="560"/>
      <c r="L2207" s="560"/>
      <c r="M2207" s="560"/>
    </row>
    <row r="2208" spans="3:13" s="338" customFormat="1">
      <c r="C2208" s="558"/>
      <c r="D2208" s="559"/>
      <c r="E2208" s="559"/>
      <c r="F2208" s="559"/>
      <c r="G2208" s="558"/>
      <c r="H2208" s="559"/>
      <c r="I2208" s="559"/>
      <c r="J2208" s="559"/>
      <c r="K2208" s="560"/>
      <c r="L2208" s="560"/>
      <c r="M2208" s="560"/>
    </row>
    <row r="2209" spans="3:13" s="338" customFormat="1">
      <c r="C2209" s="558"/>
      <c r="D2209" s="559"/>
      <c r="E2209" s="559"/>
      <c r="F2209" s="559"/>
      <c r="G2209" s="558"/>
      <c r="H2209" s="559"/>
      <c r="I2209" s="559"/>
      <c r="J2209" s="559"/>
      <c r="K2209" s="560"/>
      <c r="L2209" s="560"/>
      <c r="M2209" s="560"/>
    </row>
    <row r="2210" spans="3:13" s="338" customFormat="1">
      <c r="C2210" s="558"/>
      <c r="D2210" s="559"/>
      <c r="E2210" s="559"/>
      <c r="F2210" s="559"/>
      <c r="G2210" s="558"/>
      <c r="H2210" s="559"/>
      <c r="I2210" s="559"/>
      <c r="J2210" s="559"/>
      <c r="K2210" s="560"/>
      <c r="L2210" s="560"/>
      <c r="M2210" s="560"/>
    </row>
    <row r="2211" spans="3:13" s="338" customFormat="1">
      <c r="C2211" s="558"/>
      <c r="D2211" s="559"/>
      <c r="E2211" s="559"/>
      <c r="F2211" s="559"/>
      <c r="G2211" s="558"/>
      <c r="H2211" s="559"/>
      <c r="I2211" s="559"/>
      <c r="J2211" s="559"/>
      <c r="K2211" s="560"/>
      <c r="L2211" s="560"/>
      <c r="M2211" s="560"/>
    </row>
    <row r="2212" spans="3:13" s="338" customFormat="1">
      <c r="C2212" s="558"/>
      <c r="D2212" s="559"/>
      <c r="E2212" s="559"/>
      <c r="F2212" s="559"/>
      <c r="G2212" s="558"/>
      <c r="H2212" s="559"/>
      <c r="I2212" s="559"/>
      <c r="J2212" s="559"/>
      <c r="K2212" s="560"/>
      <c r="L2212" s="560"/>
      <c r="M2212" s="560"/>
    </row>
    <row r="2213" spans="3:13" s="338" customFormat="1">
      <c r="C2213" s="558"/>
      <c r="D2213" s="559"/>
      <c r="E2213" s="559"/>
      <c r="F2213" s="559"/>
      <c r="G2213" s="558"/>
      <c r="H2213" s="559"/>
      <c r="I2213" s="559"/>
      <c r="J2213" s="559"/>
      <c r="K2213" s="560"/>
      <c r="L2213" s="560"/>
      <c r="M2213" s="560"/>
    </row>
    <row r="2214" spans="3:13" s="338" customFormat="1">
      <c r="C2214" s="558"/>
      <c r="D2214" s="559"/>
      <c r="E2214" s="559"/>
      <c r="F2214" s="559"/>
      <c r="G2214" s="558"/>
      <c r="H2214" s="559"/>
      <c r="I2214" s="559"/>
      <c r="J2214" s="559"/>
      <c r="K2214" s="560"/>
      <c r="L2214" s="560"/>
      <c r="M2214" s="560"/>
    </row>
    <row r="2215" spans="3:13" s="338" customFormat="1">
      <c r="C2215" s="558"/>
      <c r="D2215" s="559"/>
      <c r="E2215" s="559"/>
      <c r="F2215" s="559"/>
      <c r="G2215" s="558"/>
      <c r="H2215" s="559"/>
      <c r="I2215" s="559"/>
      <c r="J2215" s="559"/>
      <c r="K2215" s="560"/>
      <c r="L2215" s="560"/>
      <c r="M2215" s="560"/>
    </row>
    <row r="2216" spans="3:13" s="338" customFormat="1">
      <c r="C2216" s="558"/>
      <c r="D2216" s="559"/>
      <c r="E2216" s="559"/>
      <c r="F2216" s="559"/>
      <c r="G2216" s="558"/>
      <c r="H2216" s="559"/>
      <c r="I2216" s="559"/>
      <c r="J2216" s="559"/>
      <c r="K2216" s="560"/>
      <c r="L2216" s="560"/>
      <c r="M2216" s="560"/>
    </row>
    <row r="2217" spans="3:13" s="338" customFormat="1">
      <c r="C2217" s="558"/>
      <c r="D2217" s="559"/>
      <c r="E2217" s="559"/>
      <c r="F2217" s="559"/>
      <c r="G2217" s="558"/>
      <c r="H2217" s="559"/>
      <c r="I2217" s="559"/>
      <c r="J2217" s="559"/>
      <c r="K2217" s="560"/>
      <c r="L2217" s="560"/>
      <c r="M2217" s="560"/>
    </row>
    <row r="2218" spans="3:13" s="338" customFormat="1">
      <c r="C2218" s="558"/>
      <c r="D2218" s="559"/>
      <c r="E2218" s="559"/>
      <c r="F2218" s="559"/>
      <c r="G2218" s="558"/>
      <c r="H2218" s="559"/>
      <c r="I2218" s="559"/>
      <c r="J2218" s="559"/>
      <c r="K2218" s="560"/>
      <c r="L2218" s="560"/>
      <c r="M2218" s="560"/>
    </row>
    <row r="2219" spans="3:13" s="338" customFormat="1">
      <c r="C2219" s="558"/>
      <c r="D2219" s="559"/>
      <c r="E2219" s="559"/>
      <c r="F2219" s="559"/>
      <c r="G2219" s="558"/>
      <c r="H2219" s="559"/>
      <c r="I2219" s="559"/>
      <c r="J2219" s="559"/>
      <c r="K2219" s="560"/>
      <c r="L2219" s="560"/>
      <c r="M2219" s="560"/>
    </row>
    <row r="2220" spans="3:13" s="338" customFormat="1">
      <c r="C2220" s="558"/>
      <c r="D2220" s="559"/>
      <c r="E2220" s="559"/>
      <c r="F2220" s="559"/>
      <c r="G2220" s="558"/>
      <c r="H2220" s="559"/>
      <c r="I2220" s="559"/>
      <c r="J2220" s="559"/>
      <c r="K2220" s="560"/>
      <c r="L2220" s="560"/>
      <c r="M2220" s="560"/>
    </row>
    <row r="2221" spans="3:13" s="338" customFormat="1">
      <c r="C2221" s="558"/>
      <c r="D2221" s="559"/>
      <c r="E2221" s="559"/>
      <c r="F2221" s="559"/>
      <c r="G2221" s="558"/>
      <c r="H2221" s="559"/>
      <c r="I2221" s="559"/>
      <c r="J2221" s="559"/>
      <c r="K2221" s="560"/>
      <c r="L2221" s="560"/>
      <c r="M2221" s="560"/>
    </row>
    <row r="2222" spans="3:13" s="338" customFormat="1">
      <c r="C2222" s="558"/>
      <c r="D2222" s="559"/>
      <c r="E2222" s="559"/>
      <c r="F2222" s="559"/>
      <c r="G2222" s="558"/>
      <c r="H2222" s="559"/>
      <c r="I2222" s="559"/>
      <c r="J2222" s="559"/>
      <c r="K2222" s="560"/>
      <c r="L2222" s="560"/>
      <c r="M2222" s="560"/>
    </row>
    <row r="2223" spans="3:13" s="338" customFormat="1">
      <c r="C2223" s="558"/>
      <c r="D2223" s="559"/>
      <c r="E2223" s="559"/>
      <c r="F2223" s="559"/>
      <c r="G2223" s="558"/>
      <c r="H2223" s="559"/>
      <c r="I2223" s="559"/>
      <c r="J2223" s="559"/>
      <c r="K2223" s="560"/>
      <c r="L2223" s="560"/>
      <c r="M2223" s="560"/>
    </row>
    <row r="2224" spans="3:13" s="338" customFormat="1">
      <c r="C2224" s="558"/>
      <c r="D2224" s="559"/>
      <c r="E2224" s="559"/>
      <c r="F2224" s="559"/>
      <c r="G2224" s="558"/>
      <c r="H2224" s="559"/>
      <c r="I2224" s="559"/>
      <c r="J2224" s="559"/>
      <c r="K2224" s="560"/>
      <c r="L2224" s="560"/>
      <c r="M2224" s="560"/>
    </row>
    <row r="2225" spans="3:13" s="338" customFormat="1">
      <c r="C2225" s="558"/>
      <c r="D2225" s="559"/>
      <c r="E2225" s="559"/>
      <c r="F2225" s="559"/>
      <c r="G2225" s="558"/>
      <c r="H2225" s="559"/>
      <c r="I2225" s="559"/>
      <c r="J2225" s="559"/>
      <c r="K2225" s="560"/>
      <c r="L2225" s="560"/>
      <c r="M2225" s="560"/>
    </row>
    <row r="2226" spans="3:13" s="338" customFormat="1">
      <c r="C2226" s="558"/>
      <c r="D2226" s="559"/>
      <c r="E2226" s="559"/>
      <c r="F2226" s="559"/>
      <c r="G2226" s="558"/>
      <c r="H2226" s="559"/>
      <c r="I2226" s="559"/>
      <c r="J2226" s="559"/>
      <c r="K2226" s="560"/>
      <c r="L2226" s="560"/>
      <c r="M2226" s="560"/>
    </row>
    <row r="2227" spans="3:13" s="338" customFormat="1">
      <c r="C2227" s="558"/>
      <c r="D2227" s="559"/>
      <c r="E2227" s="559"/>
      <c r="F2227" s="559"/>
      <c r="G2227" s="558"/>
      <c r="H2227" s="559"/>
      <c r="I2227" s="559"/>
      <c r="J2227" s="559"/>
      <c r="K2227" s="560"/>
      <c r="L2227" s="560"/>
      <c r="M2227" s="560"/>
    </row>
    <row r="2228" spans="3:13" s="338" customFormat="1">
      <c r="C2228" s="558"/>
      <c r="D2228" s="559"/>
      <c r="E2228" s="559"/>
      <c r="F2228" s="559"/>
      <c r="G2228" s="558"/>
      <c r="H2228" s="559"/>
      <c r="I2228" s="559"/>
      <c r="J2228" s="559"/>
      <c r="K2228" s="560"/>
      <c r="L2228" s="560"/>
      <c r="M2228" s="560"/>
    </row>
    <row r="2229" spans="3:13" s="338" customFormat="1">
      <c r="C2229" s="558"/>
      <c r="D2229" s="559"/>
      <c r="E2229" s="559"/>
      <c r="F2229" s="559"/>
      <c r="G2229" s="558"/>
      <c r="H2229" s="559"/>
      <c r="I2229" s="559"/>
      <c r="J2229" s="559"/>
      <c r="K2229" s="560"/>
      <c r="L2229" s="560"/>
      <c r="M2229" s="560"/>
    </row>
    <row r="2230" spans="3:13" s="338" customFormat="1">
      <c r="C2230" s="558"/>
      <c r="D2230" s="559"/>
      <c r="E2230" s="559"/>
      <c r="F2230" s="559"/>
      <c r="G2230" s="558"/>
      <c r="H2230" s="559"/>
      <c r="I2230" s="559"/>
      <c r="J2230" s="559"/>
      <c r="K2230" s="560"/>
      <c r="L2230" s="560"/>
      <c r="M2230" s="560"/>
    </row>
    <row r="2231" spans="3:13" s="338" customFormat="1">
      <c r="C2231" s="558"/>
      <c r="D2231" s="559"/>
      <c r="E2231" s="559"/>
      <c r="F2231" s="559"/>
      <c r="G2231" s="558"/>
      <c r="H2231" s="559"/>
      <c r="I2231" s="559"/>
      <c r="J2231" s="559"/>
      <c r="K2231" s="560"/>
      <c r="L2231" s="560"/>
      <c r="M2231" s="560"/>
    </row>
    <row r="2232" spans="3:13" s="338" customFormat="1">
      <c r="C2232" s="558"/>
      <c r="D2232" s="559"/>
      <c r="E2232" s="559"/>
      <c r="F2232" s="559"/>
      <c r="G2232" s="558"/>
      <c r="H2232" s="559"/>
      <c r="I2232" s="559"/>
      <c r="J2232" s="559"/>
      <c r="K2232" s="560"/>
      <c r="L2232" s="560"/>
      <c r="M2232" s="560"/>
    </row>
    <row r="2233" spans="3:13" s="338" customFormat="1">
      <c r="C2233" s="558"/>
      <c r="D2233" s="559"/>
      <c r="E2233" s="559"/>
      <c r="F2233" s="559"/>
      <c r="G2233" s="558"/>
      <c r="H2233" s="559"/>
      <c r="I2233" s="559"/>
      <c r="J2233" s="559"/>
      <c r="K2233" s="560"/>
      <c r="L2233" s="560"/>
      <c r="M2233" s="560"/>
    </row>
    <row r="2234" spans="3:13" s="338" customFormat="1">
      <c r="C2234" s="558"/>
      <c r="D2234" s="559"/>
      <c r="E2234" s="559"/>
      <c r="F2234" s="559"/>
      <c r="G2234" s="558"/>
      <c r="H2234" s="559"/>
      <c r="I2234" s="559"/>
      <c r="J2234" s="559"/>
      <c r="K2234" s="560"/>
      <c r="L2234" s="560"/>
      <c r="M2234" s="560"/>
    </row>
    <row r="2235" spans="3:13" s="338" customFormat="1">
      <c r="C2235" s="558"/>
      <c r="D2235" s="559"/>
      <c r="E2235" s="559"/>
      <c r="F2235" s="559"/>
      <c r="G2235" s="558"/>
      <c r="H2235" s="559"/>
      <c r="I2235" s="559"/>
      <c r="J2235" s="559"/>
      <c r="K2235" s="560"/>
      <c r="L2235" s="560"/>
      <c r="M2235" s="560"/>
    </row>
    <row r="2236" spans="3:13" s="338" customFormat="1">
      <c r="C2236" s="558"/>
      <c r="D2236" s="559"/>
      <c r="E2236" s="559"/>
      <c r="F2236" s="559"/>
      <c r="G2236" s="558"/>
      <c r="H2236" s="559"/>
      <c r="I2236" s="559"/>
      <c r="J2236" s="559"/>
      <c r="K2236" s="560"/>
      <c r="L2236" s="560"/>
      <c r="M2236" s="560"/>
    </row>
    <row r="2237" spans="3:13" s="338" customFormat="1">
      <c r="C2237" s="558"/>
      <c r="D2237" s="559"/>
      <c r="E2237" s="559"/>
      <c r="F2237" s="559"/>
      <c r="G2237" s="558"/>
      <c r="H2237" s="559"/>
      <c r="I2237" s="559"/>
      <c r="J2237" s="559"/>
      <c r="K2237" s="560"/>
      <c r="L2237" s="560"/>
      <c r="M2237" s="560"/>
    </row>
    <row r="2238" spans="3:13" s="338" customFormat="1">
      <c r="C2238" s="558"/>
      <c r="D2238" s="559"/>
      <c r="E2238" s="559"/>
      <c r="F2238" s="559"/>
      <c r="G2238" s="558"/>
      <c r="H2238" s="559"/>
      <c r="I2238" s="559"/>
      <c r="J2238" s="559"/>
      <c r="K2238" s="560"/>
      <c r="L2238" s="560"/>
      <c r="M2238" s="560"/>
    </row>
    <row r="2239" spans="3:13" s="338" customFormat="1">
      <c r="C2239" s="558"/>
      <c r="D2239" s="559"/>
      <c r="E2239" s="559"/>
      <c r="F2239" s="559"/>
      <c r="G2239" s="558"/>
      <c r="H2239" s="559"/>
      <c r="I2239" s="559"/>
      <c r="J2239" s="559"/>
      <c r="K2239" s="560"/>
      <c r="L2239" s="560"/>
      <c r="M2239" s="560"/>
    </row>
    <row r="2240" spans="3:13" s="338" customFormat="1">
      <c r="C2240" s="558"/>
      <c r="D2240" s="559"/>
      <c r="E2240" s="559"/>
      <c r="F2240" s="559"/>
      <c r="G2240" s="558"/>
      <c r="H2240" s="559"/>
      <c r="I2240" s="559"/>
      <c r="J2240" s="559"/>
      <c r="K2240" s="560"/>
      <c r="L2240" s="560"/>
      <c r="M2240" s="560"/>
    </row>
    <row r="2241" spans="3:13" s="338" customFormat="1">
      <c r="C2241" s="558"/>
      <c r="D2241" s="559"/>
      <c r="E2241" s="559"/>
      <c r="F2241" s="559"/>
      <c r="G2241" s="558"/>
      <c r="H2241" s="559"/>
      <c r="I2241" s="559"/>
      <c r="J2241" s="559"/>
      <c r="K2241" s="560"/>
      <c r="L2241" s="560"/>
      <c r="M2241" s="560"/>
    </row>
    <row r="2242" spans="3:13" s="338" customFormat="1">
      <c r="C2242" s="558"/>
      <c r="D2242" s="559"/>
      <c r="E2242" s="559"/>
      <c r="F2242" s="559"/>
      <c r="G2242" s="558"/>
      <c r="H2242" s="559"/>
      <c r="I2242" s="559"/>
      <c r="J2242" s="559"/>
      <c r="K2242" s="560"/>
      <c r="L2242" s="560"/>
      <c r="M2242" s="560"/>
    </row>
    <row r="2243" spans="3:13" s="338" customFormat="1">
      <c r="C2243" s="558"/>
      <c r="D2243" s="559"/>
      <c r="E2243" s="559"/>
      <c r="F2243" s="559"/>
      <c r="G2243" s="558"/>
      <c r="H2243" s="559"/>
      <c r="I2243" s="559"/>
      <c r="J2243" s="559"/>
      <c r="K2243" s="560"/>
      <c r="L2243" s="560"/>
      <c r="M2243" s="560"/>
    </row>
    <row r="2244" spans="3:13" s="338" customFormat="1">
      <c r="C2244" s="558"/>
      <c r="D2244" s="559"/>
      <c r="E2244" s="559"/>
      <c r="F2244" s="559"/>
      <c r="G2244" s="558"/>
      <c r="H2244" s="559"/>
      <c r="I2244" s="559"/>
      <c r="J2244" s="559"/>
      <c r="K2244" s="560"/>
      <c r="L2244" s="560"/>
      <c r="M2244" s="560"/>
    </row>
    <row r="2245" spans="3:13" s="338" customFormat="1">
      <c r="C2245" s="558"/>
      <c r="D2245" s="559"/>
      <c r="E2245" s="559"/>
      <c r="F2245" s="559"/>
      <c r="G2245" s="558"/>
      <c r="H2245" s="559"/>
      <c r="I2245" s="559"/>
      <c r="J2245" s="559"/>
      <c r="K2245" s="560"/>
      <c r="L2245" s="560"/>
      <c r="M2245" s="560"/>
    </row>
    <row r="2246" spans="3:13" s="338" customFormat="1">
      <c r="C2246" s="558"/>
      <c r="D2246" s="559"/>
      <c r="E2246" s="559"/>
      <c r="F2246" s="559"/>
      <c r="G2246" s="558"/>
      <c r="H2246" s="559"/>
      <c r="I2246" s="559"/>
      <c r="J2246" s="559"/>
      <c r="K2246" s="560"/>
      <c r="L2246" s="560"/>
      <c r="M2246" s="560"/>
    </row>
    <row r="2247" spans="3:13" s="338" customFormat="1">
      <c r="C2247" s="558"/>
      <c r="D2247" s="559"/>
      <c r="E2247" s="559"/>
      <c r="F2247" s="559"/>
      <c r="G2247" s="558"/>
      <c r="H2247" s="559"/>
      <c r="I2247" s="559"/>
      <c r="J2247" s="559"/>
      <c r="K2247" s="560"/>
      <c r="L2247" s="560"/>
      <c r="M2247" s="560"/>
    </row>
    <row r="2248" spans="3:13" s="338" customFormat="1">
      <c r="C2248" s="558"/>
      <c r="D2248" s="559"/>
      <c r="E2248" s="559"/>
      <c r="F2248" s="559"/>
      <c r="G2248" s="558"/>
      <c r="H2248" s="559"/>
      <c r="I2248" s="559"/>
      <c r="J2248" s="559"/>
      <c r="K2248" s="560"/>
      <c r="L2248" s="560"/>
      <c r="M2248" s="560"/>
    </row>
    <row r="2249" spans="3:13" s="338" customFormat="1">
      <c r="C2249" s="558"/>
      <c r="D2249" s="559"/>
      <c r="E2249" s="559"/>
      <c r="F2249" s="559"/>
      <c r="G2249" s="558"/>
      <c r="H2249" s="559"/>
      <c r="I2249" s="559"/>
      <c r="J2249" s="559"/>
      <c r="K2249" s="560"/>
      <c r="L2249" s="560"/>
      <c r="M2249" s="560"/>
    </row>
    <row r="2250" spans="3:13" s="338" customFormat="1">
      <c r="C2250" s="558"/>
      <c r="D2250" s="559"/>
      <c r="E2250" s="559"/>
      <c r="F2250" s="559"/>
      <c r="G2250" s="558"/>
      <c r="H2250" s="559"/>
      <c r="I2250" s="559"/>
      <c r="J2250" s="559"/>
      <c r="K2250" s="560"/>
      <c r="L2250" s="560"/>
      <c r="M2250" s="560"/>
    </row>
    <row r="2251" spans="3:13" s="338" customFormat="1">
      <c r="C2251" s="558"/>
      <c r="D2251" s="559"/>
      <c r="E2251" s="559"/>
      <c r="F2251" s="559"/>
      <c r="G2251" s="558"/>
      <c r="H2251" s="559"/>
      <c r="I2251" s="559"/>
      <c r="J2251" s="559"/>
      <c r="K2251" s="560"/>
      <c r="L2251" s="560"/>
      <c r="M2251" s="560"/>
    </row>
    <row r="2252" spans="3:13" s="338" customFormat="1">
      <c r="C2252" s="558"/>
      <c r="D2252" s="559"/>
      <c r="E2252" s="559"/>
      <c r="F2252" s="559"/>
      <c r="G2252" s="558"/>
      <c r="H2252" s="559"/>
      <c r="I2252" s="559"/>
      <c r="J2252" s="559"/>
      <c r="K2252" s="560"/>
      <c r="L2252" s="560"/>
      <c r="M2252" s="560"/>
    </row>
    <row r="2253" spans="3:13" s="338" customFormat="1">
      <c r="C2253" s="558"/>
      <c r="D2253" s="559"/>
      <c r="E2253" s="559"/>
      <c r="F2253" s="559"/>
      <c r="G2253" s="558"/>
      <c r="H2253" s="559"/>
      <c r="I2253" s="559"/>
      <c r="J2253" s="559"/>
      <c r="K2253" s="560"/>
      <c r="L2253" s="560"/>
      <c r="M2253" s="560"/>
    </row>
    <row r="2254" spans="3:13" s="338" customFormat="1">
      <c r="C2254" s="558"/>
      <c r="D2254" s="559"/>
      <c r="E2254" s="559"/>
      <c r="F2254" s="559"/>
      <c r="G2254" s="558"/>
      <c r="H2254" s="559"/>
      <c r="I2254" s="559"/>
      <c r="J2254" s="559"/>
      <c r="K2254" s="560"/>
      <c r="L2254" s="560"/>
      <c r="M2254" s="560"/>
    </row>
    <row r="2255" spans="3:13" s="338" customFormat="1">
      <c r="C2255" s="558"/>
      <c r="D2255" s="559"/>
      <c r="E2255" s="559"/>
      <c r="F2255" s="559"/>
      <c r="G2255" s="558"/>
      <c r="H2255" s="559"/>
      <c r="I2255" s="559"/>
      <c r="J2255" s="559"/>
      <c r="K2255" s="560"/>
      <c r="L2255" s="560"/>
      <c r="M2255" s="560"/>
    </row>
    <row r="2256" spans="3:13" s="338" customFormat="1">
      <c r="C2256" s="558"/>
      <c r="D2256" s="559"/>
      <c r="E2256" s="559"/>
      <c r="F2256" s="559"/>
      <c r="G2256" s="558"/>
      <c r="H2256" s="559"/>
      <c r="I2256" s="559"/>
      <c r="J2256" s="559"/>
      <c r="K2256" s="560"/>
      <c r="L2256" s="560"/>
      <c r="M2256" s="560"/>
    </row>
    <row r="2257" spans="3:13" s="338" customFormat="1">
      <c r="C2257" s="558"/>
      <c r="D2257" s="559"/>
      <c r="E2257" s="559"/>
      <c r="F2257" s="559"/>
      <c r="G2257" s="558"/>
      <c r="H2257" s="559"/>
      <c r="I2257" s="559"/>
      <c r="J2257" s="559"/>
      <c r="K2257" s="560"/>
      <c r="L2257" s="560"/>
      <c r="M2257" s="560"/>
    </row>
    <row r="2258" spans="3:13" s="338" customFormat="1">
      <c r="C2258" s="558"/>
      <c r="D2258" s="559"/>
      <c r="E2258" s="559"/>
      <c r="F2258" s="559"/>
      <c r="G2258" s="558"/>
      <c r="H2258" s="559"/>
      <c r="I2258" s="559"/>
      <c r="J2258" s="559"/>
      <c r="K2258" s="560"/>
      <c r="L2258" s="560"/>
      <c r="M2258" s="560"/>
    </row>
    <row r="2259" spans="3:13" s="338" customFormat="1">
      <c r="C2259" s="558"/>
      <c r="D2259" s="559"/>
      <c r="E2259" s="559"/>
      <c r="F2259" s="559"/>
      <c r="G2259" s="558"/>
      <c r="H2259" s="559"/>
      <c r="I2259" s="559"/>
      <c r="J2259" s="559"/>
      <c r="K2259" s="560"/>
      <c r="L2259" s="560"/>
      <c r="M2259" s="560"/>
    </row>
    <row r="2260" spans="3:13" s="338" customFormat="1">
      <c r="C2260" s="558"/>
      <c r="D2260" s="559"/>
      <c r="E2260" s="559"/>
      <c r="F2260" s="559"/>
      <c r="G2260" s="558"/>
      <c r="H2260" s="559"/>
      <c r="I2260" s="559"/>
      <c r="J2260" s="559"/>
      <c r="K2260" s="560"/>
      <c r="L2260" s="560"/>
      <c r="M2260" s="560"/>
    </row>
    <row r="2261" spans="3:13" s="338" customFormat="1">
      <c r="C2261" s="558"/>
      <c r="D2261" s="559"/>
      <c r="E2261" s="559"/>
      <c r="F2261" s="559"/>
      <c r="G2261" s="558"/>
      <c r="H2261" s="559"/>
      <c r="I2261" s="559"/>
      <c r="J2261" s="559"/>
      <c r="K2261" s="560"/>
      <c r="L2261" s="560"/>
      <c r="M2261" s="560"/>
    </row>
    <row r="2262" spans="3:13" s="338" customFormat="1">
      <c r="C2262" s="558"/>
      <c r="D2262" s="559"/>
      <c r="E2262" s="559"/>
      <c r="F2262" s="559"/>
      <c r="G2262" s="558"/>
      <c r="H2262" s="559"/>
      <c r="I2262" s="559"/>
      <c r="J2262" s="559"/>
      <c r="K2262" s="560"/>
      <c r="L2262" s="560"/>
      <c r="M2262" s="560"/>
    </row>
    <row r="2263" spans="3:13" s="338" customFormat="1">
      <c r="C2263" s="558"/>
      <c r="D2263" s="559"/>
      <c r="E2263" s="559"/>
      <c r="F2263" s="559"/>
      <c r="G2263" s="558"/>
      <c r="H2263" s="559"/>
      <c r="I2263" s="559"/>
      <c r="J2263" s="559"/>
      <c r="K2263" s="560"/>
      <c r="L2263" s="560"/>
      <c r="M2263" s="560"/>
    </row>
    <row r="2264" spans="3:13" s="338" customFormat="1">
      <c r="C2264" s="558"/>
      <c r="D2264" s="559"/>
      <c r="E2264" s="559"/>
      <c r="F2264" s="559"/>
      <c r="G2264" s="558"/>
      <c r="H2264" s="559"/>
      <c r="I2264" s="559"/>
      <c r="J2264" s="559"/>
      <c r="K2264" s="560"/>
      <c r="L2264" s="560"/>
      <c r="M2264" s="560"/>
    </row>
    <row r="2265" spans="3:13" s="338" customFormat="1">
      <c r="C2265" s="558"/>
      <c r="D2265" s="559"/>
      <c r="E2265" s="559"/>
      <c r="F2265" s="559"/>
      <c r="G2265" s="558"/>
      <c r="H2265" s="559"/>
      <c r="I2265" s="559"/>
      <c r="J2265" s="559"/>
      <c r="K2265" s="560"/>
      <c r="L2265" s="560"/>
      <c r="M2265" s="560"/>
    </row>
    <row r="2266" spans="3:13" s="338" customFormat="1">
      <c r="C2266" s="558"/>
      <c r="D2266" s="559"/>
      <c r="E2266" s="559"/>
      <c r="F2266" s="559"/>
      <c r="G2266" s="558"/>
      <c r="H2266" s="559"/>
      <c r="I2266" s="559"/>
      <c r="J2266" s="559"/>
      <c r="K2266" s="560"/>
      <c r="L2266" s="560"/>
      <c r="M2266" s="560"/>
    </row>
    <row r="2267" spans="3:13" s="338" customFormat="1">
      <c r="C2267" s="558"/>
      <c r="D2267" s="559"/>
      <c r="E2267" s="559"/>
      <c r="F2267" s="559"/>
      <c r="G2267" s="558"/>
      <c r="H2267" s="559"/>
      <c r="I2267" s="559"/>
      <c r="J2267" s="559"/>
      <c r="K2267" s="560"/>
      <c r="L2267" s="560"/>
      <c r="M2267" s="560"/>
    </row>
    <row r="2268" spans="3:13" s="338" customFormat="1">
      <c r="C2268" s="558"/>
      <c r="D2268" s="559"/>
      <c r="E2268" s="559"/>
      <c r="F2268" s="559"/>
      <c r="G2268" s="558"/>
      <c r="H2268" s="559"/>
      <c r="I2268" s="559"/>
      <c r="J2268" s="559"/>
      <c r="K2268" s="560"/>
      <c r="L2268" s="560"/>
      <c r="M2268" s="560"/>
    </row>
    <row r="2269" spans="3:13" s="338" customFormat="1">
      <c r="C2269" s="558"/>
      <c r="D2269" s="559"/>
      <c r="E2269" s="559"/>
      <c r="F2269" s="559"/>
      <c r="G2269" s="558"/>
      <c r="H2269" s="559"/>
      <c r="I2269" s="559"/>
      <c r="J2269" s="559"/>
      <c r="K2269" s="560"/>
      <c r="L2269" s="560"/>
      <c r="M2269" s="560"/>
    </row>
    <row r="2270" spans="3:13" s="338" customFormat="1">
      <c r="C2270" s="558"/>
      <c r="D2270" s="559"/>
      <c r="E2270" s="559"/>
      <c r="F2270" s="559"/>
      <c r="G2270" s="558"/>
      <c r="H2270" s="559"/>
      <c r="I2270" s="559"/>
      <c r="J2270" s="559"/>
      <c r="K2270" s="560"/>
      <c r="L2270" s="560"/>
      <c r="M2270" s="560"/>
    </row>
    <row r="2271" spans="3:13" s="338" customFormat="1">
      <c r="C2271" s="558"/>
      <c r="D2271" s="559"/>
      <c r="E2271" s="559"/>
      <c r="F2271" s="559"/>
      <c r="G2271" s="558"/>
      <c r="H2271" s="559"/>
      <c r="I2271" s="559"/>
      <c r="J2271" s="559"/>
      <c r="K2271" s="560"/>
      <c r="L2271" s="560"/>
      <c r="M2271" s="560"/>
    </row>
    <row r="2272" spans="3:13" s="338" customFormat="1">
      <c r="C2272" s="558"/>
      <c r="D2272" s="559"/>
      <c r="E2272" s="559"/>
      <c r="F2272" s="559"/>
      <c r="G2272" s="558"/>
      <c r="H2272" s="559"/>
      <c r="I2272" s="559"/>
      <c r="J2272" s="559"/>
      <c r="K2272" s="560"/>
      <c r="L2272" s="560"/>
      <c r="M2272" s="560"/>
    </row>
    <row r="2273" spans="3:13" s="338" customFormat="1">
      <c r="C2273" s="558"/>
      <c r="D2273" s="559"/>
      <c r="E2273" s="559"/>
      <c r="F2273" s="559"/>
      <c r="G2273" s="558"/>
      <c r="H2273" s="559"/>
      <c r="I2273" s="559"/>
      <c r="J2273" s="559"/>
      <c r="K2273" s="560"/>
      <c r="L2273" s="560"/>
      <c r="M2273" s="560"/>
    </row>
    <row r="2274" spans="3:13" s="338" customFormat="1">
      <c r="C2274" s="558"/>
      <c r="D2274" s="559"/>
      <c r="E2274" s="559"/>
      <c r="F2274" s="559"/>
      <c r="G2274" s="558"/>
      <c r="H2274" s="559"/>
      <c r="I2274" s="559"/>
      <c r="J2274" s="559"/>
      <c r="K2274" s="560"/>
      <c r="L2274" s="560"/>
      <c r="M2274" s="560"/>
    </row>
    <row r="2275" spans="3:13" s="338" customFormat="1">
      <c r="C2275" s="558"/>
      <c r="D2275" s="559"/>
      <c r="E2275" s="559"/>
      <c r="F2275" s="559"/>
      <c r="G2275" s="558"/>
      <c r="H2275" s="559"/>
      <c r="I2275" s="559"/>
      <c r="J2275" s="559"/>
      <c r="K2275" s="560"/>
      <c r="L2275" s="560"/>
      <c r="M2275" s="560"/>
    </row>
    <row r="2276" spans="3:13" s="338" customFormat="1">
      <c r="C2276" s="558"/>
      <c r="D2276" s="559"/>
      <c r="E2276" s="559"/>
      <c r="F2276" s="559"/>
      <c r="G2276" s="558"/>
      <c r="H2276" s="559"/>
      <c r="I2276" s="559"/>
      <c r="J2276" s="559"/>
      <c r="K2276" s="560"/>
      <c r="L2276" s="560"/>
      <c r="M2276" s="560"/>
    </row>
    <row r="2277" spans="3:13" s="338" customFormat="1">
      <c r="C2277" s="558"/>
      <c r="D2277" s="559"/>
      <c r="E2277" s="559"/>
      <c r="F2277" s="559"/>
      <c r="G2277" s="558"/>
      <c r="H2277" s="559"/>
      <c r="I2277" s="559"/>
      <c r="J2277" s="559"/>
      <c r="K2277" s="560"/>
      <c r="L2277" s="560"/>
      <c r="M2277" s="560"/>
    </row>
    <row r="2278" spans="3:13" s="338" customFormat="1">
      <c r="C2278" s="558"/>
      <c r="D2278" s="559"/>
      <c r="E2278" s="559"/>
      <c r="F2278" s="559"/>
      <c r="G2278" s="558"/>
      <c r="H2278" s="559"/>
      <c r="I2278" s="559"/>
      <c r="J2278" s="559"/>
      <c r="K2278" s="560"/>
      <c r="L2278" s="560"/>
      <c r="M2278" s="560"/>
    </row>
    <row r="2279" spans="3:13" s="338" customFormat="1">
      <c r="C2279" s="558"/>
      <c r="D2279" s="559"/>
      <c r="E2279" s="559"/>
      <c r="F2279" s="559"/>
      <c r="G2279" s="558"/>
      <c r="H2279" s="559"/>
      <c r="I2279" s="559"/>
      <c r="J2279" s="559"/>
      <c r="K2279" s="560"/>
      <c r="L2279" s="560"/>
      <c r="M2279" s="560"/>
    </row>
    <row r="2280" spans="3:13" s="338" customFormat="1">
      <c r="C2280" s="558"/>
      <c r="D2280" s="559"/>
      <c r="E2280" s="559"/>
      <c r="F2280" s="559"/>
      <c r="G2280" s="558"/>
      <c r="H2280" s="559"/>
      <c r="I2280" s="559"/>
      <c r="J2280" s="559"/>
      <c r="K2280" s="560"/>
      <c r="L2280" s="560"/>
      <c r="M2280" s="560"/>
    </row>
    <row r="2281" spans="3:13" s="338" customFormat="1">
      <c r="C2281" s="558"/>
      <c r="D2281" s="559"/>
      <c r="E2281" s="559"/>
      <c r="F2281" s="559"/>
      <c r="G2281" s="558"/>
      <c r="H2281" s="559"/>
      <c r="I2281" s="559"/>
      <c r="J2281" s="559"/>
      <c r="K2281" s="560"/>
      <c r="L2281" s="560"/>
      <c r="M2281" s="560"/>
    </row>
    <row r="2282" spans="3:13" s="338" customFormat="1">
      <c r="C2282" s="558"/>
      <c r="D2282" s="559"/>
      <c r="E2282" s="559"/>
      <c r="F2282" s="559"/>
      <c r="G2282" s="558"/>
      <c r="H2282" s="559"/>
      <c r="I2282" s="559"/>
      <c r="J2282" s="559"/>
      <c r="K2282" s="560"/>
      <c r="L2282" s="560"/>
      <c r="M2282" s="560"/>
    </row>
    <row r="2283" spans="3:13" s="338" customFormat="1">
      <c r="C2283" s="558"/>
      <c r="D2283" s="559"/>
      <c r="E2283" s="559"/>
      <c r="F2283" s="559"/>
      <c r="G2283" s="558"/>
      <c r="H2283" s="559"/>
      <c r="I2283" s="559"/>
      <c r="J2283" s="559"/>
      <c r="K2283" s="560"/>
      <c r="L2283" s="560"/>
      <c r="M2283" s="560"/>
    </row>
    <row r="2284" spans="3:13" s="338" customFormat="1">
      <c r="C2284" s="558"/>
      <c r="D2284" s="559"/>
      <c r="E2284" s="559"/>
      <c r="F2284" s="559"/>
      <c r="G2284" s="558"/>
      <c r="H2284" s="559"/>
      <c r="I2284" s="559"/>
      <c r="J2284" s="559"/>
      <c r="K2284" s="560"/>
      <c r="L2284" s="560"/>
      <c r="M2284" s="560"/>
    </row>
    <row r="2285" spans="3:13" s="338" customFormat="1">
      <c r="C2285" s="558"/>
      <c r="D2285" s="559"/>
      <c r="E2285" s="559"/>
      <c r="F2285" s="559"/>
      <c r="G2285" s="558"/>
      <c r="H2285" s="559"/>
      <c r="I2285" s="559"/>
      <c r="J2285" s="559"/>
      <c r="K2285" s="560"/>
      <c r="L2285" s="560"/>
      <c r="M2285" s="560"/>
    </row>
    <row r="2286" spans="3:13" s="338" customFormat="1">
      <c r="C2286" s="558"/>
      <c r="D2286" s="559"/>
      <c r="E2286" s="559"/>
      <c r="F2286" s="559"/>
      <c r="G2286" s="558"/>
      <c r="H2286" s="559"/>
      <c r="I2286" s="559"/>
      <c r="J2286" s="559"/>
      <c r="K2286" s="560"/>
      <c r="L2286" s="560"/>
      <c r="M2286" s="560"/>
    </row>
    <row r="2287" spans="3:13" s="338" customFormat="1">
      <c r="C2287" s="558"/>
      <c r="D2287" s="559"/>
      <c r="E2287" s="559"/>
      <c r="F2287" s="559"/>
      <c r="G2287" s="558"/>
      <c r="H2287" s="559"/>
      <c r="I2287" s="559"/>
      <c r="J2287" s="559"/>
      <c r="K2287" s="560"/>
      <c r="L2287" s="560"/>
      <c r="M2287" s="560"/>
    </row>
    <row r="2288" spans="3:13" s="338" customFormat="1">
      <c r="C2288" s="558"/>
      <c r="D2288" s="559"/>
      <c r="E2288" s="559"/>
      <c r="F2288" s="559"/>
      <c r="G2288" s="558"/>
      <c r="H2288" s="559"/>
      <c r="I2288" s="559"/>
      <c r="J2288" s="559"/>
      <c r="K2288" s="560"/>
      <c r="L2288" s="560"/>
      <c r="M2288" s="560"/>
    </row>
    <row r="2289" spans="3:13" s="338" customFormat="1">
      <c r="C2289" s="558"/>
      <c r="D2289" s="559"/>
      <c r="E2289" s="559"/>
      <c r="F2289" s="559"/>
      <c r="G2289" s="558"/>
      <c r="H2289" s="559"/>
      <c r="I2289" s="559"/>
      <c r="J2289" s="559"/>
      <c r="K2289" s="560"/>
      <c r="L2289" s="560"/>
      <c r="M2289" s="560"/>
    </row>
    <row r="2290" spans="3:13" s="338" customFormat="1">
      <c r="C2290" s="558"/>
      <c r="D2290" s="559"/>
      <c r="E2290" s="559"/>
      <c r="F2290" s="559"/>
      <c r="G2290" s="558"/>
      <c r="H2290" s="559"/>
      <c r="I2290" s="559"/>
      <c r="J2290" s="559"/>
      <c r="K2290" s="560"/>
      <c r="L2290" s="560"/>
      <c r="M2290" s="560"/>
    </row>
    <row r="2291" spans="3:13" s="338" customFormat="1">
      <c r="C2291" s="558"/>
      <c r="D2291" s="559"/>
      <c r="E2291" s="559"/>
      <c r="F2291" s="559"/>
      <c r="G2291" s="558"/>
      <c r="H2291" s="559"/>
      <c r="I2291" s="559"/>
      <c r="J2291" s="559"/>
      <c r="K2291" s="560"/>
      <c r="L2291" s="560"/>
      <c r="M2291" s="560"/>
    </row>
    <row r="2292" spans="3:13" s="338" customFormat="1">
      <c r="C2292" s="558"/>
      <c r="D2292" s="559"/>
      <c r="E2292" s="559"/>
      <c r="F2292" s="559"/>
      <c r="G2292" s="558"/>
      <c r="H2292" s="559"/>
      <c r="I2292" s="559"/>
      <c r="J2292" s="559"/>
      <c r="K2292" s="560"/>
      <c r="L2292" s="560"/>
      <c r="M2292" s="560"/>
    </row>
    <row r="2293" spans="3:13" s="338" customFormat="1">
      <c r="C2293" s="558"/>
      <c r="D2293" s="559"/>
      <c r="E2293" s="559"/>
      <c r="F2293" s="559"/>
      <c r="G2293" s="558"/>
      <c r="H2293" s="559"/>
      <c r="I2293" s="559"/>
      <c r="J2293" s="559"/>
      <c r="K2293" s="560"/>
      <c r="L2293" s="560"/>
      <c r="M2293" s="560"/>
    </row>
    <row r="2294" spans="3:13" s="338" customFormat="1">
      <c r="C2294" s="558"/>
      <c r="D2294" s="559"/>
      <c r="E2294" s="559"/>
      <c r="F2294" s="559"/>
      <c r="G2294" s="558"/>
      <c r="H2294" s="559"/>
      <c r="I2294" s="559"/>
      <c r="J2294" s="559"/>
      <c r="K2294" s="560"/>
      <c r="L2294" s="560"/>
      <c r="M2294" s="560"/>
    </row>
    <row r="2295" spans="3:13" s="338" customFormat="1">
      <c r="C2295" s="558"/>
      <c r="D2295" s="559"/>
      <c r="E2295" s="559"/>
      <c r="F2295" s="559"/>
      <c r="G2295" s="558"/>
      <c r="H2295" s="559"/>
      <c r="I2295" s="559"/>
      <c r="J2295" s="559"/>
      <c r="K2295" s="560"/>
      <c r="L2295" s="560"/>
      <c r="M2295" s="560"/>
    </row>
    <row r="2296" spans="3:13" s="338" customFormat="1">
      <c r="C2296" s="558"/>
      <c r="D2296" s="559"/>
      <c r="E2296" s="559"/>
      <c r="F2296" s="559"/>
      <c r="G2296" s="558"/>
      <c r="H2296" s="559"/>
      <c r="I2296" s="559"/>
      <c r="J2296" s="559"/>
      <c r="K2296" s="560"/>
      <c r="L2296" s="560"/>
      <c r="M2296" s="560"/>
    </row>
    <row r="2297" spans="3:13" s="338" customFormat="1">
      <c r="C2297" s="558"/>
      <c r="D2297" s="559"/>
      <c r="E2297" s="559"/>
      <c r="F2297" s="559"/>
      <c r="G2297" s="558"/>
      <c r="H2297" s="559"/>
      <c r="I2297" s="559"/>
      <c r="J2297" s="559"/>
      <c r="K2297" s="560"/>
      <c r="L2297" s="560"/>
      <c r="M2297" s="560"/>
    </row>
    <row r="2298" spans="3:13" s="338" customFormat="1">
      <c r="C2298" s="558"/>
      <c r="D2298" s="559"/>
      <c r="E2298" s="559"/>
      <c r="F2298" s="559"/>
      <c r="G2298" s="558"/>
      <c r="H2298" s="559"/>
      <c r="I2298" s="559"/>
      <c r="J2298" s="559"/>
      <c r="K2298" s="560"/>
      <c r="L2298" s="560"/>
      <c r="M2298" s="560"/>
    </row>
    <row r="2299" spans="3:13" s="338" customFormat="1">
      <c r="C2299" s="558"/>
      <c r="D2299" s="559"/>
      <c r="E2299" s="559"/>
      <c r="F2299" s="559"/>
      <c r="G2299" s="558"/>
      <c r="H2299" s="559"/>
      <c r="I2299" s="559"/>
      <c r="J2299" s="559"/>
      <c r="K2299" s="560"/>
      <c r="L2299" s="560"/>
      <c r="M2299" s="560"/>
    </row>
    <row r="2300" spans="3:13" s="338" customFormat="1">
      <c r="C2300" s="558"/>
      <c r="D2300" s="559"/>
      <c r="E2300" s="559"/>
      <c r="F2300" s="559"/>
      <c r="G2300" s="558"/>
      <c r="H2300" s="559"/>
      <c r="I2300" s="559"/>
      <c r="J2300" s="559"/>
      <c r="K2300" s="560"/>
      <c r="L2300" s="560"/>
      <c r="M2300" s="560"/>
    </row>
    <row r="2301" spans="3:13" s="338" customFormat="1">
      <c r="C2301" s="558"/>
      <c r="D2301" s="559"/>
      <c r="E2301" s="559"/>
      <c r="F2301" s="559"/>
      <c r="G2301" s="558"/>
      <c r="H2301" s="559"/>
      <c r="I2301" s="559"/>
      <c r="J2301" s="559"/>
      <c r="K2301" s="560"/>
      <c r="L2301" s="560"/>
      <c r="M2301" s="560"/>
    </row>
    <row r="2302" spans="3:13" s="338" customFormat="1">
      <c r="C2302" s="558"/>
      <c r="D2302" s="559"/>
      <c r="E2302" s="559"/>
      <c r="F2302" s="559"/>
      <c r="G2302" s="558"/>
      <c r="H2302" s="559"/>
      <c r="I2302" s="559"/>
      <c r="J2302" s="559"/>
      <c r="K2302" s="560"/>
      <c r="L2302" s="560"/>
      <c r="M2302" s="560"/>
    </row>
    <row r="2303" spans="3:13" s="338" customFormat="1">
      <c r="C2303" s="558"/>
      <c r="D2303" s="559"/>
      <c r="E2303" s="559"/>
      <c r="F2303" s="559"/>
      <c r="G2303" s="558"/>
      <c r="H2303" s="559"/>
      <c r="I2303" s="559"/>
      <c r="J2303" s="559"/>
      <c r="K2303" s="560"/>
      <c r="L2303" s="560"/>
      <c r="M2303" s="560"/>
    </row>
    <row r="2304" spans="3:13" s="338" customFormat="1">
      <c r="C2304" s="558"/>
      <c r="D2304" s="559"/>
      <c r="E2304" s="559"/>
      <c r="F2304" s="559"/>
      <c r="G2304" s="558"/>
      <c r="H2304" s="559"/>
      <c r="I2304" s="559"/>
      <c r="J2304" s="559"/>
      <c r="K2304" s="560"/>
      <c r="L2304" s="560"/>
      <c r="M2304" s="560"/>
    </row>
    <row r="2305" spans="3:13" s="338" customFormat="1">
      <c r="C2305" s="558"/>
      <c r="D2305" s="559"/>
      <c r="E2305" s="559"/>
      <c r="F2305" s="559"/>
      <c r="G2305" s="558"/>
      <c r="H2305" s="559"/>
      <c r="I2305" s="559"/>
      <c r="J2305" s="559"/>
      <c r="K2305" s="560"/>
      <c r="L2305" s="560"/>
      <c r="M2305" s="560"/>
    </row>
    <row r="2306" spans="3:13" s="338" customFormat="1">
      <c r="C2306" s="558"/>
      <c r="D2306" s="559"/>
      <c r="E2306" s="559"/>
      <c r="F2306" s="559"/>
      <c r="G2306" s="558"/>
      <c r="H2306" s="559"/>
      <c r="I2306" s="559"/>
      <c r="J2306" s="559"/>
      <c r="K2306" s="560"/>
      <c r="L2306" s="560"/>
      <c r="M2306" s="560"/>
    </row>
    <row r="2307" spans="3:13" s="338" customFormat="1">
      <c r="C2307" s="558"/>
      <c r="D2307" s="559"/>
      <c r="E2307" s="559"/>
      <c r="F2307" s="559"/>
      <c r="G2307" s="558"/>
      <c r="H2307" s="559"/>
      <c r="I2307" s="559"/>
      <c r="J2307" s="559"/>
      <c r="K2307" s="560"/>
      <c r="L2307" s="560"/>
      <c r="M2307" s="560"/>
    </row>
    <row r="2308" spans="3:13" s="338" customFormat="1">
      <c r="C2308" s="558"/>
      <c r="D2308" s="559"/>
      <c r="E2308" s="559"/>
      <c r="F2308" s="559"/>
      <c r="G2308" s="558"/>
      <c r="H2308" s="559"/>
      <c r="I2308" s="559"/>
      <c r="J2308" s="559"/>
      <c r="K2308" s="560"/>
      <c r="L2308" s="560"/>
      <c r="M2308" s="560"/>
    </row>
    <row r="2309" spans="3:13" s="338" customFormat="1">
      <c r="C2309" s="558"/>
      <c r="D2309" s="559"/>
      <c r="E2309" s="559"/>
      <c r="F2309" s="559"/>
      <c r="G2309" s="558"/>
      <c r="H2309" s="559"/>
      <c r="I2309" s="559"/>
      <c r="J2309" s="559"/>
      <c r="K2309" s="560"/>
      <c r="L2309" s="560"/>
      <c r="M2309" s="560"/>
    </row>
    <row r="2310" spans="3:13" s="338" customFormat="1">
      <c r="C2310" s="558"/>
      <c r="D2310" s="559"/>
      <c r="E2310" s="559"/>
      <c r="F2310" s="559"/>
      <c r="G2310" s="558"/>
      <c r="H2310" s="559"/>
      <c r="I2310" s="559"/>
      <c r="J2310" s="559"/>
      <c r="K2310" s="560"/>
      <c r="L2310" s="560"/>
      <c r="M2310" s="560"/>
    </row>
    <row r="2311" spans="3:13" s="338" customFormat="1">
      <c r="C2311" s="558"/>
      <c r="D2311" s="559"/>
      <c r="E2311" s="559"/>
      <c r="F2311" s="559"/>
      <c r="G2311" s="558"/>
      <c r="H2311" s="559"/>
      <c r="I2311" s="559"/>
      <c r="J2311" s="559"/>
      <c r="K2311" s="560"/>
      <c r="L2311" s="560"/>
      <c r="M2311" s="560"/>
    </row>
    <row r="2312" spans="3:13" s="338" customFormat="1">
      <c r="C2312" s="558"/>
      <c r="D2312" s="559"/>
      <c r="E2312" s="559"/>
      <c r="F2312" s="559"/>
      <c r="G2312" s="558"/>
      <c r="H2312" s="559"/>
      <c r="I2312" s="559"/>
      <c r="J2312" s="559"/>
      <c r="K2312" s="560"/>
      <c r="L2312" s="560"/>
      <c r="M2312" s="560"/>
    </row>
    <row r="2313" spans="3:13" s="338" customFormat="1">
      <c r="C2313" s="558"/>
      <c r="D2313" s="559"/>
      <c r="E2313" s="559"/>
      <c r="F2313" s="559"/>
      <c r="G2313" s="558"/>
      <c r="H2313" s="559"/>
      <c r="I2313" s="559"/>
      <c r="J2313" s="559"/>
      <c r="K2313" s="560"/>
      <c r="L2313" s="560"/>
      <c r="M2313" s="560"/>
    </row>
    <row r="2314" spans="3:13" s="338" customFormat="1">
      <c r="C2314" s="558"/>
      <c r="D2314" s="559"/>
      <c r="E2314" s="559"/>
      <c r="F2314" s="559"/>
      <c r="G2314" s="558"/>
      <c r="H2314" s="559"/>
      <c r="I2314" s="559"/>
      <c r="J2314" s="559"/>
      <c r="K2314" s="560"/>
      <c r="L2314" s="560"/>
      <c r="M2314" s="560"/>
    </row>
    <row r="2315" spans="3:13" s="338" customFormat="1">
      <c r="C2315" s="558"/>
      <c r="D2315" s="559"/>
      <c r="E2315" s="559"/>
      <c r="F2315" s="559"/>
      <c r="G2315" s="558"/>
      <c r="H2315" s="559"/>
      <c r="I2315" s="559"/>
      <c r="J2315" s="559"/>
      <c r="K2315" s="560"/>
      <c r="L2315" s="560"/>
      <c r="M2315" s="560"/>
    </row>
    <row r="2316" spans="3:13" s="338" customFormat="1">
      <c r="C2316" s="558"/>
      <c r="D2316" s="559"/>
      <c r="E2316" s="559"/>
      <c r="F2316" s="559"/>
      <c r="G2316" s="558"/>
      <c r="H2316" s="559"/>
      <c r="I2316" s="559"/>
      <c r="J2316" s="559"/>
      <c r="K2316" s="560"/>
      <c r="L2316" s="560"/>
      <c r="M2316" s="560"/>
    </row>
    <row r="2317" spans="3:13" s="338" customFormat="1">
      <c r="C2317" s="558"/>
      <c r="D2317" s="559"/>
      <c r="E2317" s="559"/>
      <c r="F2317" s="559"/>
      <c r="G2317" s="558"/>
      <c r="H2317" s="559"/>
      <c r="I2317" s="559"/>
      <c r="J2317" s="559"/>
      <c r="K2317" s="560"/>
      <c r="L2317" s="560"/>
      <c r="M2317" s="560"/>
    </row>
    <row r="2318" spans="3:13" s="338" customFormat="1">
      <c r="C2318" s="558"/>
      <c r="D2318" s="559"/>
      <c r="E2318" s="559"/>
      <c r="F2318" s="559"/>
      <c r="G2318" s="558"/>
      <c r="H2318" s="559"/>
      <c r="I2318" s="559"/>
      <c r="J2318" s="559"/>
      <c r="K2318" s="560"/>
      <c r="L2318" s="560"/>
      <c r="M2318" s="560"/>
    </row>
    <row r="2319" spans="3:13" s="338" customFormat="1">
      <c r="C2319" s="558"/>
      <c r="D2319" s="559"/>
      <c r="E2319" s="559"/>
      <c r="F2319" s="559"/>
      <c r="G2319" s="558"/>
      <c r="H2319" s="559"/>
      <c r="I2319" s="559"/>
      <c r="J2319" s="559"/>
      <c r="K2319" s="560"/>
      <c r="L2319" s="560"/>
      <c r="M2319" s="560"/>
    </row>
    <row r="2320" spans="3:13" s="338" customFormat="1">
      <c r="C2320" s="558"/>
      <c r="D2320" s="559"/>
      <c r="E2320" s="559"/>
      <c r="F2320" s="559"/>
      <c r="G2320" s="558"/>
      <c r="H2320" s="559"/>
      <c r="I2320" s="559"/>
      <c r="J2320" s="559"/>
      <c r="K2320" s="560"/>
      <c r="L2320" s="560"/>
      <c r="M2320" s="560"/>
    </row>
    <row r="2321" spans="3:13" s="338" customFormat="1">
      <c r="C2321" s="558"/>
      <c r="D2321" s="559"/>
      <c r="E2321" s="559"/>
      <c r="F2321" s="559"/>
      <c r="G2321" s="558"/>
      <c r="H2321" s="559"/>
      <c r="I2321" s="559"/>
      <c r="J2321" s="559"/>
      <c r="K2321" s="560"/>
      <c r="L2321" s="560"/>
      <c r="M2321" s="560"/>
    </row>
    <row r="2322" spans="3:13" s="338" customFormat="1">
      <c r="C2322" s="558"/>
      <c r="D2322" s="559"/>
      <c r="E2322" s="559"/>
      <c r="F2322" s="559"/>
      <c r="G2322" s="558"/>
      <c r="H2322" s="559"/>
      <c r="I2322" s="559"/>
      <c r="J2322" s="559"/>
      <c r="K2322" s="560"/>
      <c r="L2322" s="560"/>
      <c r="M2322" s="560"/>
    </row>
    <row r="2323" spans="3:13" s="338" customFormat="1">
      <c r="C2323" s="558"/>
      <c r="D2323" s="559"/>
      <c r="E2323" s="559"/>
      <c r="F2323" s="559"/>
      <c r="G2323" s="558"/>
      <c r="H2323" s="559"/>
      <c r="I2323" s="559"/>
      <c r="J2323" s="559"/>
      <c r="K2323" s="560"/>
      <c r="L2323" s="560"/>
      <c r="M2323" s="560"/>
    </row>
    <row r="2324" spans="3:13" s="338" customFormat="1">
      <c r="C2324" s="558"/>
      <c r="D2324" s="559"/>
      <c r="E2324" s="559"/>
      <c r="F2324" s="559"/>
      <c r="G2324" s="558"/>
      <c r="H2324" s="559"/>
      <c r="I2324" s="559"/>
      <c r="J2324" s="559"/>
      <c r="K2324" s="560"/>
      <c r="L2324" s="560"/>
      <c r="M2324" s="560"/>
    </row>
    <row r="2325" spans="3:13" s="338" customFormat="1">
      <c r="C2325" s="558"/>
      <c r="D2325" s="559"/>
      <c r="E2325" s="559"/>
      <c r="F2325" s="559"/>
      <c r="G2325" s="558"/>
      <c r="H2325" s="559"/>
      <c r="I2325" s="559"/>
      <c r="J2325" s="559"/>
      <c r="K2325" s="560"/>
      <c r="L2325" s="560"/>
      <c r="M2325" s="560"/>
    </row>
    <row r="2326" spans="3:13" s="338" customFormat="1">
      <c r="C2326" s="558"/>
      <c r="D2326" s="559"/>
      <c r="E2326" s="559"/>
      <c r="F2326" s="559"/>
      <c r="G2326" s="558"/>
      <c r="H2326" s="559"/>
      <c r="I2326" s="559"/>
      <c r="J2326" s="559"/>
      <c r="K2326" s="560"/>
      <c r="L2326" s="560"/>
      <c r="M2326" s="560"/>
    </row>
    <row r="2327" spans="3:13" s="338" customFormat="1">
      <c r="C2327" s="558"/>
      <c r="D2327" s="559"/>
      <c r="E2327" s="559"/>
      <c r="F2327" s="559"/>
      <c r="G2327" s="558"/>
      <c r="H2327" s="559"/>
      <c r="I2327" s="559"/>
      <c r="J2327" s="559"/>
      <c r="K2327" s="560"/>
      <c r="L2327" s="560"/>
      <c r="M2327" s="560"/>
    </row>
    <row r="2328" spans="3:13" s="338" customFormat="1">
      <c r="C2328" s="558"/>
      <c r="D2328" s="559"/>
      <c r="E2328" s="559"/>
      <c r="F2328" s="559"/>
      <c r="G2328" s="558"/>
      <c r="H2328" s="559"/>
      <c r="I2328" s="559"/>
      <c r="J2328" s="559"/>
      <c r="K2328" s="560"/>
      <c r="L2328" s="560"/>
      <c r="M2328" s="560"/>
    </row>
    <row r="2329" spans="3:13" s="338" customFormat="1">
      <c r="C2329" s="558"/>
      <c r="D2329" s="559"/>
      <c r="E2329" s="559"/>
      <c r="F2329" s="559"/>
      <c r="G2329" s="558"/>
      <c r="H2329" s="559"/>
      <c r="I2329" s="559"/>
      <c r="J2329" s="559"/>
      <c r="K2329" s="560"/>
      <c r="L2329" s="560"/>
      <c r="M2329" s="560"/>
    </row>
    <row r="2330" spans="3:13" s="338" customFormat="1">
      <c r="C2330" s="558"/>
      <c r="D2330" s="559"/>
      <c r="E2330" s="559"/>
      <c r="F2330" s="559"/>
      <c r="G2330" s="558"/>
      <c r="H2330" s="559"/>
      <c r="I2330" s="559"/>
      <c r="J2330" s="559"/>
      <c r="K2330" s="560"/>
      <c r="L2330" s="560"/>
      <c r="M2330" s="560"/>
    </row>
    <row r="2331" spans="3:13" s="338" customFormat="1">
      <c r="C2331" s="558"/>
      <c r="D2331" s="559"/>
      <c r="E2331" s="559"/>
      <c r="F2331" s="559"/>
      <c r="G2331" s="558"/>
      <c r="H2331" s="559"/>
      <c r="I2331" s="559"/>
      <c r="J2331" s="559"/>
      <c r="K2331" s="560"/>
      <c r="L2331" s="560"/>
      <c r="M2331" s="560"/>
    </row>
    <row r="2332" spans="3:13" s="338" customFormat="1">
      <c r="C2332" s="558"/>
      <c r="D2332" s="559"/>
      <c r="E2332" s="559"/>
      <c r="F2332" s="559"/>
      <c r="G2332" s="558"/>
      <c r="H2332" s="559"/>
      <c r="I2332" s="559"/>
      <c r="J2332" s="559"/>
      <c r="K2332" s="560"/>
      <c r="L2332" s="560"/>
      <c r="M2332" s="560"/>
    </row>
    <row r="2333" spans="3:13" s="338" customFormat="1">
      <c r="C2333" s="558"/>
      <c r="D2333" s="559"/>
      <c r="E2333" s="559"/>
      <c r="F2333" s="559"/>
      <c r="G2333" s="558"/>
      <c r="H2333" s="559"/>
      <c r="I2333" s="559"/>
      <c r="J2333" s="559"/>
      <c r="K2333" s="560"/>
      <c r="L2333" s="560"/>
      <c r="M2333" s="560"/>
    </row>
    <row r="2334" spans="3:13" s="338" customFormat="1">
      <c r="C2334" s="558"/>
      <c r="D2334" s="559"/>
      <c r="E2334" s="559"/>
      <c r="F2334" s="559"/>
      <c r="G2334" s="558"/>
      <c r="H2334" s="559"/>
      <c r="I2334" s="559"/>
      <c r="J2334" s="559"/>
      <c r="K2334" s="560"/>
      <c r="L2334" s="560"/>
      <c r="M2334" s="560"/>
    </row>
    <row r="2335" spans="3:13" s="338" customFormat="1">
      <c r="C2335" s="558"/>
      <c r="D2335" s="559"/>
      <c r="E2335" s="559"/>
      <c r="F2335" s="559"/>
      <c r="G2335" s="558"/>
      <c r="H2335" s="559"/>
      <c r="I2335" s="559"/>
      <c r="J2335" s="559"/>
      <c r="K2335" s="560"/>
      <c r="L2335" s="560"/>
      <c r="M2335" s="560"/>
    </row>
    <row r="2336" spans="3:13" s="338" customFormat="1">
      <c r="C2336" s="558"/>
      <c r="D2336" s="559"/>
      <c r="E2336" s="559"/>
      <c r="F2336" s="559"/>
      <c r="G2336" s="558"/>
      <c r="H2336" s="559"/>
      <c r="I2336" s="559"/>
      <c r="J2336" s="559"/>
      <c r="K2336" s="560"/>
      <c r="L2336" s="560"/>
      <c r="M2336" s="560"/>
    </row>
    <row r="2337" spans="3:13" s="338" customFormat="1">
      <c r="C2337" s="558"/>
      <c r="D2337" s="559"/>
      <c r="E2337" s="559"/>
      <c r="F2337" s="559"/>
      <c r="G2337" s="558"/>
      <c r="H2337" s="559"/>
      <c r="I2337" s="559"/>
      <c r="J2337" s="559"/>
      <c r="K2337" s="560"/>
      <c r="L2337" s="560"/>
      <c r="M2337" s="560"/>
    </row>
    <row r="2338" spans="3:13" s="338" customFormat="1">
      <c r="C2338" s="558"/>
      <c r="D2338" s="559"/>
      <c r="E2338" s="559"/>
      <c r="F2338" s="559"/>
      <c r="G2338" s="558"/>
      <c r="H2338" s="559"/>
      <c r="I2338" s="559"/>
      <c r="J2338" s="559"/>
      <c r="K2338" s="560"/>
      <c r="L2338" s="560"/>
      <c r="M2338" s="560"/>
    </row>
    <row r="2339" spans="3:13" s="338" customFormat="1">
      <c r="C2339" s="558"/>
      <c r="D2339" s="559"/>
      <c r="E2339" s="559"/>
      <c r="F2339" s="559"/>
      <c r="G2339" s="558"/>
      <c r="H2339" s="559"/>
      <c r="I2339" s="559"/>
      <c r="J2339" s="559"/>
      <c r="K2339" s="560"/>
      <c r="L2339" s="560"/>
      <c r="M2339" s="560"/>
    </row>
    <row r="2340" spans="3:13" s="338" customFormat="1">
      <c r="C2340" s="558"/>
      <c r="D2340" s="559"/>
      <c r="E2340" s="559"/>
      <c r="F2340" s="559"/>
      <c r="G2340" s="558"/>
      <c r="H2340" s="559"/>
      <c r="I2340" s="559"/>
      <c r="J2340" s="559"/>
      <c r="K2340" s="560"/>
      <c r="L2340" s="560"/>
      <c r="M2340" s="560"/>
    </row>
    <row r="2341" spans="3:13" s="338" customFormat="1">
      <c r="C2341" s="558"/>
      <c r="D2341" s="559"/>
      <c r="E2341" s="559"/>
      <c r="F2341" s="559"/>
      <c r="G2341" s="558"/>
      <c r="H2341" s="559"/>
      <c r="I2341" s="559"/>
      <c r="J2341" s="559"/>
      <c r="K2341" s="560"/>
      <c r="L2341" s="560"/>
      <c r="M2341" s="560"/>
    </row>
    <row r="2342" spans="3:13" s="338" customFormat="1">
      <c r="C2342" s="558"/>
      <c r="D2342" s="559"/>
      <c r="E2342" s="559"/>
      <c r="F2342" s="559"/>
      <c r="G2342" s="558"/>
      <c r="H2342" s="559"/>
      <c r="I2342" s="559"/>
      <c r="J2342" s="559"/>
      <c r="K2342" s="560"/>
      <c r="L2342" s="560"/>
      <c r="M2342" s="560"/>
    </row>
    <row r="2343" spans="3:13" s="338" customFormat="1">
      <c r="C2343" s="558"/>
      <c r="D2343" s="559"/>
      <c r="E2343" s="559"/>
      <c r="F2343" s="559"/>
      <c r="G2343" s="558"/>
      <c r="H2343" s="559"/>
      <c r="I2343" s="559"/>
      <c r="J2343" s="559"/>
      <c r="K2343" s="560"/>
      <c r="L2343" s="560"/>
      <c r="M2343" s="560"/>
    </row>
    <row r="2344" spans="3:13" s="338" customFormat="1">
      <c r="C2344" s="558"/>
      <c r="D2344" s="559"/>
      <c r="E2344" s="559"/>
      <c r="F2344" s="559"/>
      <c r="G2344" s="558"/>
      <c r="H2344" s="559"/>
      <c r="I2344" s="559"/>
      <c r="J2344" s="559"/>
      <c r="K2344" s="560"/>
      <c r="L2344" s="560"/>
      <c r="M2344" s="560"/>
    </row>
    <row r="2345" spans="3:13" s="338" customFormat="1">
      <c r="C2345" s="558"/>
      <c r="D2345" s="559"/>
      <c r="E2345" s="559"/>
      <c r="F2345" s="559"/>
      <c r="G2345" s="558"/>
      <c r="H2345" s="559"/>
      <c r="I2345" s="559"/>
      <c r="J2345" s="559"/>
      <c r="K2345" s="560"/>
      <c r="L2345" s="560"/>
      <c r="M2345" s="560"/>
    </row>
    <row r="2346" spans="3:13" s="338" customFormat="1">
      <c r="C2346" s="558"/>
      <c r="D2346" s="559"/>
      <c r="E2346" s="559"/>
      <c r="F2346" s="559"/>
      <c r="G2346" s="558"/>
      <c r="H2346" s="559"/>
      <c r="I2346" s="559"/>
      <c r="J2346" s="559"/>
      <c r="K2346" s="560"/>
      <c r="L2346" s="560"/>
      <c r="M2346" s="560"/>
    </row>
    <row r="2347" spans="3:13" s="338" customFormat="1">
      <c r="C2347" s="558"/>
      <c r="D2347" s="559"/>
      <c r="E2347" s="559"/>
      <c r="F2347" s="559"/>
      <c r="G2347" s="558"/>
      <c r="H2347" s="559"/>
      <c r="I2347" s="559"/>
      <c r="J2347" s="559"/>
      <c r="K2347" s="560"/>
      <c r="L2347" s="560"/>
      <c r="M2347" s="560"/>
    </row>
    <row r="2348" spans="3:13" s="338" customFormat="1">
      <c r="C2348" s="558"/>
      <c r="D2348" s="559"/>
      <c r="E2348" s="559"/>
      <c r="F2348" s="559"/>
      <c r="G2348" s="558"/>
      <c r="H2348" s="559"/>
      <c r="I2348" s="559"/>
      <c r="J2348" s="559"/>
      <c r="K2348" s="560"/>
      <c r="L2348" s="560"/>
      <c r="M2348" s="560"/>
    </row>
    <row r="2349" spans="3:13" s="338" customFormat="1">
      <c r="C2349" s="558"/>
      <c r="D2349" s="559"/>
      <c r="E2349" s="559"/>
      <c r="F2349" s="559"/>
      <c r="G2349" s="558"/>
      <c r="H2349" s="559"/>
      <c r="I2349" s="559"/>
      <c r="J2349" s="559"/>
      <c r="K2349" s="560"/>
      <c r="L2349" s="560"/>
      <c r="M2349" s="560"/>
    </row>
    <row r="2350" spans="3:13" s="338" customFormat="1">
      <c r="C2350" s="558"/>
      <c r="D2350" s="559"/>
      <c r="E2350" s="559"/>
      <c r="F2350" s="559"/>
      <c r="G2350" s="558"/>
      <c r="H2350" s="559"/>
      <c r="I2350" s="559"/>
      <c r="J2350" s="559"/>
      <c r="K2350" s="560"/>
      <c r="L2350" s="560"/>
      <c r="M2350" s="560"/>
    </row>
    <row r="2351" spans="3:13" s="338" customFormat="1">
      <c r="C2351" s="558"/>
      <c r="D2351" s="559"/>
      <c r="E2351" s="559"/>
      <c r="F2351" s="559"/>
      <c r="G2351" s="558"/>
      <c r="H2351" s="559"/>
      <c r="I2351" s="559"/>
      <c r="J2351" s="559"/>
      <c r="K2351" s="560"/>
      <c r="L2351" s="560"/>
      <c r="M2351" s="560"/>
    </row>
    <row r="2352" spans="3:13" s="338" customFormat="1">
      <c r="C2352" s="558"/>
      <c r="D2352" s="559"/>
      <c r="E2352" s="559"/>
      <c r="F2352" s="559"/>
      <c r="G2352" s="558"/>
      <c r="H2352" s="559"/>
      <c r="I2352" s="559"/>
      <c r="J2352" s="559"/>
      <c r="K2352" s="560"/>
      <c r="L2352" s="560"/>
      <c r="M2352" s="560"/>
    </row>
    <row r="2353" spans="3:13" s="338" customFormat="1">
      <c r="C2353" s="558"/>
      <c r="D2353" s="559"/>
      <c r="E2353" s="559"/>
      <c r="F2353" s="559"/>
      <c r="G2353" s="558"/>
      <c r="H2353" s="559"/>
      <c r="I2353" s="559"/>
      <c r="J2353" s="559"/>
      <c r="K2353" s="560"/>
      <c r="L2353" s="560"/>
      <c r="M2353" s="560"/>
    </row>
    <row r="2354" spans="3:13" s="338" customFormat="1">
      <c r="C2354" s="558"/>
      <c r="D2354" s="559"/>
      <c r="E2354" s="559"/>
      <c r="F2354" s="559"/>
      <c r="G2354" s="558"/>
      <c r="H2354" s="559"/>
      <c r="I2354" s="559"/>
      <c r="J2354" s="559"/>
      <c r="K2354" s="560"/>
      <c r="L2354" s="560"/>
      <c r="M2354" s="560"/>
    </row>
    <row r="2355" spans="3:13" s="338" customFormat="1">
      <c r="C2355" s="558"/>
      <c r="D2355" s="559"/>
      <c r="E2355" s="559"/>
      <c r="F2355" s="559"/>
      <c r="G2355" s="558"/>
      <c r="H2355" s="559"/>
      <c r="I2355" s="559"/>
      <c r="J2355" s="559"/>
      <c r="K2355" s="560"/>
      <c r="L2355" s="560"/>
      <c r="M2355" s="560"/>
    </row>
    <row r="2356" spans="3:13" s="338" customFormat="1">
      <c r="C2356" s="558"/>
      <c r="D2356" s="559"/>
      <c r="E2356" s="559"/>
      <c r="F2356" s="559"/>
      <c r="G2356" s="558"/>
      <c r="H2356" s="559"/>
      <c r="I2356" s="559"/>
      <c r="J2356" s="559"/>
      <c r="K2356" s="560"/>
      <c r="L2356" s="560"/>
      <c r="M2356" s="560"/>
    </row>
    <row r="2357" spans="3:13" s="338" customFormat="1">
      <c r="C2357" s="558"/>
      <c r="D2357" s="559"/>
      <c r="E2357" s="559"/>
      <c r="F2357" s="559"/>
      <c r="G2357" s="558"/>
      <c r="H2357" s="559"/>
      <c r="I2357" s="559"/>
      <c r="J2357" s="559"/>
      <c r="K2357" s="560"/>
      <c r="L2357" s="560"/>
      <c r="M2357" s="560"/>
    </row>
    <row r="2358" spans="3:13" s="338" customFormat="1">
      <c r="C2358" s="558"/>
      <c r="D2358" s="559"/>
      <c r="E2358" s="559"/>
      <c r="F2358" s="559"/>
      <c r="G2358" s="558"/>
      <c r="H2358" s="559"/>
      <c r="I2358" s="559"/>
      <c r="J2358" s="559"/>
      <c r="K2358" s="560"/>
      <c r="L2358" s="560"/>
      <c r="M2358" s="560"/>
    </row>
    <row r="2359" spans="3:13" s="338" customFormat="1">
      <c r="C2359" s="558"/>
      <c r="D2359" s="559"/>
      <c r="E2359" s="559"/>
      <c r="F2359" s="559"/>
      <c r="G2359" s="558"/>
      <c r="H2359" s="559"/>
      <c r="I2359" s="559"/>
      <c r="J2359" s="559"/>
      <c r="K2359" s="560"/>
      <c r="L2359" s="560"/>
      <c r="M2359" s="560"/>
    </row>
    <row r="2360" spans="3:13" s="338" customFormat="1">
      <c r="C2360" s="558"/>
      <c r="D2360" s="559"/>
      <c r="E2360" s="559"/>
      <c r="F2360" s="559"/>
      <c r="G2360" s="558"/>
      <c r="H2360" s="559"/>
      <c r="I2360" s="559"/>
      <c r="J2360" s="559"/>
      <c r="K2360" s="560"/>
      <c r="L2360" s="560"/>
      <c r="M2360" s="560"/>
    </row>
    <row r="2361" spans="3:13" s="338" customFormat="1">
      <c r="C2361" s="558"/>
      <c r="D2361" s="559"/>
      <c r="E2361" s="559"/>
      <c r="F2361" s="559"/>
      <c r="G2361" s="558"/>
      <c r="H2361" s="559"/>
      <c r="I2361" s="559"/>
      <c r="J2361" s="559"/>
      <c r="K2361" s="560"/>
      <c r="L2361" s="560"/>
      <c r="M2361" s="560"/>
    </row>
    <row r="2362" spans="3:13" s="338" customFormat="1">
      <c r="C2362" s="558"/>
      <c r="D2362" s="559"/>
      <c r="E2362" s="559"/>
      <c r="F2362" s="559"/>
      <c r="G2362" s="558"/>
      <c r="H2362" s="559"/>
      <c r="I2362" s="559"/>
      <c r="J2362" s="559"/>
      <c r="K2362" s="560"/>
      <c r="L2362" s="560"/>
      <c r="M2362" s="560"/>
    </row>
    <row r="2363" spans="3:13" s="338" customFormat="1">
      <c r="C2363" s="558"/>
      <c r="D2363" s="559"/>
      <c r="E2363" s="559"/>
      <c r="F2363" s="559"/>
      <c r="G2363" s="558"/>
      <c r="H2363" s="559"/>
      <c r="I2363" s="559"/>
      <c r="J2363" s="559"/>
      <c r="K2363" s="560"/>
      <c r="L2363" s="560"/>
      <c r="M2363" s="560"/>
    </row>
    <row r="2364" spans="3:13" s="338" customFormat="1">
      <c r="C2364" s="558"/>
      <c r="D2364" s="559"/>
      <c r="E2364" s="559"/>
      <c r="F2364" s="559"/>
      <c r="G2364" s="558"/>
      <c r="H2364" s="559"/>
      <c r="I2364" s="559"/>
      <c r="J2364" s="559"/>
      <c r="K2364" s="560"/>
      <c r="L2364" s="560"/>
      <c r="M2364" s="560"/>
    </row>
    <row r="2365" spans="3:13" s="338" customFormat="1">
      <c r="C2365" s="558"/>
      <c r="D2365" s="559"/>
      <c r="E2365" s="559"/>
      <c r="F2365" s="559"/>
      <c r="G2365" s="558"/>
      <c r="H2365" s="559"/>
      <c r="I2365" s="559"/>
      <c r="J2365" s="559"/>
      <c r="K2365" s="560"/>
      <c r="L2365" s="560"/>
      <c r="M2365" s="560"/>
    </row>
    <row r="2366" spans="3:13" s="338" customFormat="1">
      <c r="C2366" s="558"/>
      <c r="D2366" s="559"/>
      <c r="E2366" s="559"/>
      <c r="F2366" s="559"/>
      <c r="G2366" s="558"/>
      <c r="H2366" s="559"/>
      <c r="I2366" s="559"/>
      <c r="J2366" s="559"/>
      <c r="K2366" s="560"/>
      <c r="L2366" s="560"/>
      <c r="M2366" s="560"/>
    </row>
    <row r="2367" spans="3:13" s="338" customFormat="1">
      <c r="C2367" s="558"/>
      <c r="D2367" s="559"/>
      <c r="E2367" s="559"/>
      <c r="F2367" s="559"/>
      <c r="G2367" s="558"/>
      <c r="H2367" s="559"/>
      <c r="I2367" s="559"/>
      <c r="J2367" s="559"/>
      <c r="K2367" s="560"/>
      <c r="L2367" s="560"/>
      <c r="M2367" s="560"/>
    </row>
    <row r="2368" spans="3:13" s="338" customFormat="1">
      <c r="C2368" s="558"/>
      <c r="D2368" s="559"/>
      <c r="E2368" s="559"/>
      <c r="F2368" s="559"/>
      <c r="G2368" s="558"/>
      <c r="H2368" s="559"/>
      <c r="I2368" s="559"/>
      <c r="J2368" s="559"/>
      <c r="K2368" s="560"/>
      <c r="L2368" s="560"/>
      <c r="M2368" s="560"/>
    </row>
    <row r="2369" spans="3:13" s="338" customFormat="1">
      <c r="C2369" s="558"/>
      <c r="D2369" s="559"/>
      <c r="E2369" s="559"/>
      <c r="F2369" s="559"/>
      <c r="G2369" s="558"/>
      <c r="H2369" s="559"/>
      <c r="I2369" s="559"/>
      <c r="J2369" s="559"/>
      <c r="K2369" s="560"/>
      <c r="L2369" s="560"/>
      <c r="M2369" s="560"/>
    </row>
    <row r="2370" spans="3:13" s="338" customFormat="1">
      <c r="C2370" s="558"/>
      <c r="D2370" s="559"/>
      <c r="E2370" s="559"/>
      <c r="F2370" s="559"/>
      <c r="G2370" s="558"/>
      <c r="H2370" s="559"/>
      <c r="I2370" s="559"/>
      <c r="J2370" s="559"/>
      <c r="K2370" s="560"/>
      <c r="L2370" s="560"/>
      <c r="M2370" s="560"/>
    </row>
    <row r="2371" spans="3:13" s="338" customFormat="1">
      <c r="C2371" s="558"/>
      <c r="D2371" s="559"/>
      <c r="E2371" s="559"/>
      <c r="F2371" s="559"/>
      <c r="G2371" s="558"/>
      <c r="H2371" s="559"/>
      <c r="I2371" s="559"/>
      <c r="J2371" s="559"/>
      <c r="K2371" s="560"/>
      <c r="L2371" s="560"/>
      <c r="M2371" s="560"/>
    </row>
    <row r="2372" spans="3:13" s="338" customFormat="1">
      <c r="C2372" s="558"/>
      <c r="D2372" s="559"/>
      <c r="E2372" s="559"/>
      <c r="F2372" s="559"/>
      <c r="G2372" s="558"/>
      <c r="H2372" s="559"/>
      <c r="I2372" s="559"/>
      <c r="J2372" s="559"/>
      <c r="K2372" s="560"/>
      <c r="L2372" s="560"/>
      <c r="M2372" s="560"/>
    </row>
    <row r="2373" spans="3:13" s="338" customFormat="1">
      <c r="C2373" s="558"/>
      <c r="D2373" s="559"/>
      <c r="E2373" s="559"/>
      <c r="F2373" s="559"/>
      <c r="G2373" s="558"/>
      <c r="H2373" s="559"/>
      <c r="I2373" s="559"/>
      <c r="J2373" s="559"/>
      <c r="K2373" s="560"/>
      <c r="L2373" s="560"/>
      <c r="M2373" s="560"/>
    </row>
    <row r="2374" spans="3:13" s="338" customFormat="1">
      <c r="C2374" s="558"/>
      <c r="D2374" s="559"/>
      <c r="E2374" s="559"/>
      <c r="F2374" s="559"/>
      <c r="G2374" s="558"/>
      <c r="H2374" s="559"/>
      <c r="I2374" s="559"/>
      <c r="J2374" s="559"/>
      <c r="K2374" s="560"/>
      <c r="L2374" s="560"/>
      <c r="M2374" s="560"/>
    </row>
    <row r="2375" spans="3:13" s="338" customFormat="1">
      <c r="C2375" s="558"/>
      <c r="D2375" s="559"/>
      <c r="E2375" s="559"/>
      <c r="F2375" s="559"/>
      <c r="G2375" s="558"/>
      <c r="H2375" s="559"/>
      <c r="I2375" s="559"/>
      <c r="J2375" s="559"/>
      <c r="K2375" s="560"/>
      <c r="L2375" s="560"/>
      <c r="M2375" s="560"/>
    </row>
    <row r="2376" spans="3:13" s="338" customFormat="1">
      <c r="C2376" s="558"/>
      <c r="D2376" s="559"/>
      <c r="E2376" s="559"/>
      <c r="F2376" s="559"/>
      <c r="G2376" s="558"/>
      <c r="H2376" s="559"/>
      <c r="I2376" s="559"/>
      <c r="J2376" s="559"/>
      <c r="K2376" s="560"/>
      <c r="L2376" s="560"/>
      <c r="M2376" s="560"/>
    </row>
    <row r="2377" spans="3:13" s="338" customFormat="1">
      <c r="C2377" s="558"/>
      <c r="D2377" s="559"/>
      <c r="E2377" s="559"/>
      <c r="F2377" s="559"/>
      <c r="G2377" s="558"/>
      <c r="H2377" s="559"/>
      <c r="I2377" s="559"/>
      <c r="J2377" s="559"/>
      <c r="K2377" s="560"/>
      <c r="L2377" s="560"/>
      <c r="M2377" s="560"/>
    </row>
    <row r="2378" spans="3:13" s="338" customFormat="1">
      <c r="C2378" s="558"/>
      <c r="D2378" s="559"/>
      <c r="E2378" s="559"/>
      <c r="F2378" s="559"/>
      <c r="G2378" s="558"/>
      <c r="H2378" s="559"/>
      <c r="I2378" s="559"/>
      <c r="J2378" s="559"/>
      <c r="K2378" s="560"/>
      <c r="L2378" s="560"/>
      <c r="M2378" s="560"/>
    </row>
    <row r="2379" spans="3:13" s="338" customFormat="1">
      <c r="C2379" s="558"/>
      <c r="D2379" s="559"/>
      <c r="E2379" s="559"/>
      <c r="F2379" s="559"/>
      <c r="G2379" s="558"/>
      <c r="H2379" s="559"/>
      <c r="I2379" s="559"/>
      <c r="J2379" s="559"/>
      <c r="K2379" s="560"/>
      <c r="L2379" s="560"/>
      <c r="M2379" s="560"/>
    </row>
    <row r="2380" spans="3:13" s="338" customFormat="1">
      <c r="C2380" s="558"/>
      <c r="D2380" s="559"/>
      <c r="E2380" s="559"/>
      <c r="F2380" s="559"/>
      <c r="G2380" s="558"/>
      <c r="H2380" s="559"/>
      <c r="I2380" s="559"/>
      <c r="J2380" s="559"/>
      <c r="K2380" s="560"/>
      <c r="L2380" s="560"/>
      <c r="M2380" s="560"/>
    </row>
    <row r="2381" spans="3:13" s="338" customFormat="1">
      <c r="C2381" s="558"/>
      <c r="D2381" s="559"/>
      <c r="E2381" s="559"/>
      <c r="F2381" s="559"/>
      <c r="G2381" s="558"/>
      <c r="H2381" s="559"/>
      <c r="I2381" s="559"/>
      <c r="J2381" s="559"/>
      <c r="K2381" s="560"/>
      <c r="L2381" s="560"/>
      <c r="M2381" s="560"/>
    </row>
    <row r="2382" spans="3:13" s="338" customFormat="1">
      <c r="C2382" s="558"/>
      <c r="D2382" s="559"/>
      <c r="E2382" s="559"/>
      <c r="F2382" s="559"/>
      <c r="G2382" s="558"/>
      <c r="H2382" s="559"/>
      <c r="I2382" s="559"/>
      <c r="J2382" s="559"/>
      <c r="K2382" s="560"/>
      <c r="L2382" s="560"/>
      <c r="M2382" s="560"/>
    </row>
    <row r="2383" spans="3:13" s="338" customFormat="1">
      <c r="C2383" s="558"/>
      <c r="D2383" s="559"/>
      <c r="E2383" s="559"/>
      <c r="F2383" s="559"/>
      <c r="G2383" s="558"/>
      <c r="H2383" s="559"/>
      <c r="I2383" s="559"/>
      <c r="J2383" s="559"/>
      <c r="K2383" s="560"/>
      <c r="L2383" s="560"/>
      <c r="M2383" s="560"/>
    </row>
    <row r="2384" spans="3:13" s="338" customFormat="1">
      <c r="C2384" s="558"/>
      <c r="D2384" s="559"/>
      <c r="E2384" s="559"/>
      <c r="F2384" s="559"/>
      <c r="G2384" s="558"/>
      <c r="H2384" s="559"/>
      <c r="I2384" s="559"/>
      <c r="J2384" s="559"/>
      <c r="K2384" s="560"/>
      <c r="L2384" s="560"/>
      <c r="M2384" s="560"/>
    </row>
    <row r="2385" spans="3:13" s="338" customFormat="1">
      <c r="C2385" s="558"/>
      <c r="D2385" s="559"/>
      <c r="E2385" s="559"/>
      <c r="F2385" s="559"/>
      <c r="G2385" s="558"/>
      <c r="H2385" s="559"/>
      <c r="I2385" s="559"/>
      <c r="J2385" s="559"/>
      <c r="K2385" s="560"/>
      <c r="L2385" s="560"/>
      <c r="M2385" s="560"/>
    </row>
    <row r="2386" spans="3:13" s="338" customFormat="1">
      <c r="C2386" s="558"/>
      <c r="D2386" s="559"/>
      <c r="E2386" s="559"/>
      <c r="F2386" s="559"/>
      <c r="G2386" s="558"/>
      <c r="H2386" s="559"/>
      <c r="I2386" s="559"/>
      <c r="J2386" s="559"/>
      <c r="K2386" s="560"/>
      <c r="L2386" s="560"/>
      <c r="M2386" s="560"/>
    </row>
    <row r="2387" spans="3:13" s="338" customFormat="1">
      <c r="C2387" s="558"/>
      <c r="D2387" s="559"/>
      <c r="E2387" s="559"/>
      <c r="F2387" s="559"/>
      <c r="G2387" s="558"/>
      <c r="H2387" s="559"/>
      <c r="I2387" s="559"/>
      <c r="J2387" s="559"/>
      <c r="K2387" s="560"/>
      <c r="L2387" s="560"/>
      <c r="M2387" s="560"/>
    </row>
    <row r="2388" spans="3:13" s="338" customFormat="1">
      <c r="C2388" s="558"/>
      <c r="D2388" s="559"/>
      <c r="E2388" s="559"/>
      <c r="F2388" s="559"/>
      <c r="G2388" s="558"/>
      <c r="H2388" s="559"/>
      <c r="I2388" s="559"/>
      <c r="J2388" s="559"/>
      <c r="K2388" s="560"/>
      <c r="L2388" s="560"/>
      <c r="M2388" s="560"/>
    </row>
    <row r="2389" spans="3:13" s="338" customFormat="1">
      <c r="C2389" s="558"/>
      <c r="D2389" s="559"/>
      <c r="E2389" s="559"/>
      <c r="F2389" s="559"/>
      <c r="G2389" s="558"/>
      <c r="H2389" s="559"/>
      <c r="I2389" s="559"/>
      <c r="J2389" s="559"/>
      <c r="K2389" s="560"/>
      <c r="L2389" s="560"/>
      <c r="M2389" s="560"/>
    </row>
    <row r="2390" spans="3:13" s="338" customFormat="1">
      <c r="C2390" s="558"/>
      <c r="D2390" s="559"/>
      <c r="E2390" s="559"/>
      <c r="F2390" s="559"/>
      <c r="G2390" s="558"/>
      <c r="H2390" s="559"/>
      <c r="I2390" s="559"/>
      <c r="J2390" s="559"/>
      <c r="K2390" s="560"/>
      <c r="L2390" s="560"/>
      <c r="M2390" s="560"/>
    </row>
    <row r="2391" spans="3:13" s="338" customFormat="1">
      <c r="C2391" s="558"/>
      <c r="D2391" s="559"/>
      <c r="E2391" s="559"/>
      <c r="F2391" s="559"/>
      <c r="G2391" s="558"/>
      <c r="H2391" s="559"/>
      <c r="I2391" s="559"/>
      <c r="J2391" s="559"/>
      <c r="K2391" s="560"/>
      <c r="L2391" s="560"/>
      <c r="M2391" s="560"/>
    </row>
    <row r="2392" spans="3:13" s="338" customFormat="1">
      <c r="C2392" s="558"/>
      <c r="D2392" s="559"/>
      <c r="E2392" s="559"/>
      <c r="F2392" s="559"/>
      <c r="G2392" s="558"/>
      <c r="H2392" s="559"/>
      <c r="I2392" s="559"/>
      <c r="J2392" s="559"/>
      <c r="K2392" s="560"/>
      <c r="L2392" s="560"/>
      <c r="M2392" s="560"/>
    </row>
    <row r="2393" spans="3:13" s="338" customFormat="1">
      <c r="C2393" s="558"/>
      <c r="D2393" s="559"/>
      <c r="E2393" s="559"/>
      <c r="F2393" s="559"/>
      <c r="G2393" s="558"/>
      <c r="H2393" s="559"/>
      <c r="I2393" s="559"/>
      <c r="J2393" s="559"/>
      <c r="K2393" s="560"/>
      <c r="L2393" s="560"/>
      <c r="M2393" s="560"/>
    </row>
    <row r="2394" spans="3:13" s="338" customFormat="1">
      <c r="C2394" s="558"/>
      <c r="D2394" s="559"/>
      <c r="E2394" s="559"/>
      <c r="F2394" s="559"/>
      <c r="G2394" s="558"/>
      <c r="H2394" s="559"/>
      <c r="I2394" s="559"/>
      <c r="J2394" s="559"/>
      <c r="K2394" s="560"/>
      <c r="L2394" s="560"/>
      <c r="M2394" s="560"/>
    </row>
    <row r="2395" spans="3:13" s="338" customFormat="1">
      <c r="C2395" s="558"/>
      <c r="D2395" s="559"/>
      <c r="E2395" s="559"/>
      <c r="F2395" s="559"/>
      <c r="G2395" s="558"/>
      <c r="H2395" s="559"/>
      <c r="I2395" s="559"/>
      <c r="J2395" s="559"/>
      <c r="K2395" s="560"/>
      <c r="L2395" s="560"/>
      <c r="M2395" s="560"/>
    </row>
    <row r="2396" spans="3:13" s="338" customFormat="1">
      <c r="C2396" s="558"/>
      <c r="D2396" s="559"/>
      <c r="E2396" s="559"/>
      <c r="F2396" s="559"/>
      <c r="G2396" s="558"/>
      <c r="H2396" s="559"/>
      <c r="I2396" s="559"/>
      <c r="J2396" s="559"/>
      <c r="K2396" s="560"/>
      <c r="L2396" s="560"/>
      <c r="M2396" s="560"/>
    </row>
    <row r="2397" spans="3:13" s="338" customFormat="1">
      <c r="C2397" s="558"/>
      <c r="D2397" s="559"/>
      <c r="E2397" s="559"/>
      <c r="F2397" s="559"/>
      <c r="G2397" s="558"/>
      <c r="H2397" s="559"/>
      <c r="I2397" s="559"/>
      <c r="J2397" s="559"/>
      <c r="K2397" s="560"/>
      <c r="L2397" s="560"/>
      <c r="M2397" s="560"/>
    </row>
    <row r="2398" spans="3:13" s="338" customFormat="1">
      <c r="C2398" s="558"/>
      <c r="D2398" s="559"/>
      <c r="E2398" s="559"/>
      <c r="F2398" s="559"/>
      <c r="G2398" s="558"/>
      <c r="H2398" s="559"/>
      <c r="I2398" s="559"/>
      <c r="J2398" s="559"/>
      <c r="K2398" s="560"/>
      <c r="L2398" s="560"/>
      <c r="M2398" s="560"/>
    </row>
    <row r="2399" spans="3:13" s="338" customFormat="1">
      <c r="C2399" s="558"/>
      <c r="D2399" s="559"/>
      <c r="E2399" s="559"/>
      <c r="F2399" s="559"/>
      <c r="G2399" s="558"/>
      <c r="H2399" s="559"/>
      <c r="I2399" s="559"/>
      <c r="J2399" s="559"/>
      <c r="K2399" s="560"/>
      <c r="L2399" s="560"/>
      <c r="M2399" s="560"/>
    </row>
    <row r="2400" spans="3:13" s="338" customFormat="1">
      <c r="C2400" s="558"/>
      <c r="D2400" s="559"/>
      <c r="E2400" s="559"/>
      <c r="F2400" s="559"/>
      <c r="G2400" s="558"/>
      <c r="H2400" s="559"/>
      <c r="I2400" s="559"/>
      <c r="J2400" s="559"/>
      <c r="K2400" s="560"/>
      <c r="L2400" s="560"/>
      <c r="M2400" s="560"/>
    </row>
    <row r="2401" spans="3:13" s="338" customFormat="1">
      <c r="C2401" s="558"/>
      <c r="D2401" s="559"/>
      <c r="E2401" s="559"/>
      <c r="F2401" s="559"/>
      <c r="G2401" s="558"/>
      <c r="H2401" s="559"/>
      <c r="I2401" s="559"/>
      <c r="J2401" s="559"/>
      <c r="K2401" s="560"/>
      <c r="L2401" s="560"/>
      <c r="M2401" s="560"/>
    </row>
    <row r="2402" spans="3:13" s="338" customFormat="1">
      <c r="C2402" s="558"/>
      <c r="D2402" s="559"/>
      <c r="E2402" s="559"/>
      <c r="F2402" s="559"/>
      <c r="G2402" s="558"/>
      <c r="H2402" s="559"/>
      <c r="I2402" s="559"/>
      <c r="J2402" s="559"/>
      <c r="K2402" s="560"/>
      <c r="L2402" s="560"/>
      <c r="M2402" s="560"/>
    </row>
    <row r="2403" spans="3:13" s="338" customFormat="1">
      <c r="C2403" s="558"/>
      <c r="D2403" s="559"/>
      <c r="E2403" s="559"/>
      <c r="F2403" s="559"/>
      <c r="G2403" s="558"/>
      <c r="H2403" s="559"/>
      <c r="I2403" s="559"/>
      <c r="J2403" s="559"/>
      <c r="K2403" s="560"/>
      <c r="L2403" s="560"/>
      <c r="M2403" s="560"/>
    </row>
    <row r="2404" spans="3:13" s="338" customFormat="1">
      <c r="C2404" s="558"/>
      <c r="D2404" s="559"/>
      <c r="E2404" s="559"/>
      <c r="F2404" s="559"/>
      <c r="G2404" s="558"/>
      <c r="H2404" s="559"/>
      <c r="I2404" s="559"/>
      <c r="J2404" s="559"/>
      <c r="K2404" s="560"/>
      <c r="L2404" s="560"/>
      <c r="M2404" s="560"/>
    </row>
    <row r="2405" spans="3:13" s="338" customFormat="1">
      <c r="C2405" s="558"/>
      <c r="D2405" s="559"/>
      <c r="E2405" s="559"/>
      <c r="F2405" s="559"/>
      <c r="G2405" s="558"/>
      <c r="H2405" s="559"/>
      <c r="I2405" s="559"/>
      <c r="J2405" s="559"/>
      <c r="K2405" s="560"/>
      <c r="L2405" s="560"/>
      <c r="M2405" s="560"/>
    </row>
    <row r="2406" spans="3:13" s="338" customFormat="1">
      <c r="C2406" s="558"/>
      <c r="D2406" s="559"/>
      <c r="E2406" s="559"/>
      <c r="F2406" s="559"/>
      <c r="G2406" s="558"/>
      <c r="H2406" s="559"/>
      <c r="I2406" s="559"/>
      <c r="J2406" s="559"/>
      <c r="K2406" s="560"/>
      <c r="L2406" s="560"/>
      <c r="M2406" s="560"/>
    </row>
    <row r="2407" spans="3:13" s="338" customFormat="1">
      <c r="C2407" s="558"/>
      <c r="D2407" s="559"/>
      <c r="E2407" s="559"/>
      <c r="F2407" s="559"/>
      <c r="G2407" s="558"/>
      <c r="H2407" s="559"/>
      <c r="I2407" s="559"/>
      <c r="J2407" s="559"/>
      <c r="K2407" s="560"/>
      <c r="L2407" s="560"/>
      <c r="M2407" s="560"/>
    </row>
    <row r="2408" spans="3:13" s="338" customFormat="1">
      <c r="C2408" s="558"/>
      <c r="D2408" s="559"/>
      <c r="E2408" s="559"/>
      <c r="F2408" s="559"/>
      <c r="G2408" s="558"/>
      <c r="H2408" s="559"/>
      <c r="I2408" s="559"/>
      <c r="J2408" s="559"/>
      <c r="K2408" s="560"/>
      <c r="L2408" s="560"/>
      <c r="M2408" s="560"/>
    </row>
    <row r="2409" spans="3:13" s="338" customFormat="1">
      <c r="C2409" s="558"/>
      <c r="D2409" s="559"/>
      <c r="E2409" s="559"/>
      <c r="F2409" s="559"/>
      <c r="G2409" s="558"/>
      <c r="H2409" s="559"/>
      <c r="I2409" s="559"/>
      <c r="J2409" s="559"/>
      <c r="K2409" s="560"/>
      <c r="L2409" s="560"/>
      <c r="M2409" s="560"/>
    </row>
    <row r="2410" spans="3:13" s="338" customFormat="1">
      <c r="C2410" s="558"/>
      <c r="D2410" s="559"/>
      <c r="E2410" s="559"/>
      <c r="F2410" s="559"/>
      <c r="G2410" s="558"/>
      <c r="H2410" s="559"/>
      <c r="I2410" s="559"/>
      <c r="J2410" s="559"/>
      <c r="K2410" s="560"/>
      <c r="L2410" s="560"/>
      <c r="M2410" s="560"/>
    </row>
    <row r="2411" spans="3:13" s="338" customFormat="1">
      <c r="C2411" s="558"/>
      <c r="D2411" s="559"/>
      <c r="E2411" s="559"/>
      <c r="F2411" s="559"/>
      <c r="G2411" s="558"/>
      <c r="H2411" s="559"/>
      <c r="I2411" s="559"/>
      <c r="J2411" s="559"/>
      <c r="K2411" s="560"/>
      <c r="L2411" s="560"/>
      <c r="M2411" s="560"/>
    </row>
    <row r="2412" spans="3:13" s="338" customFormat="1">
      <c r="C2412" s="558"/>
      <c r="D2412" s="559"/>
      <c r="E2412" s="559"/>
      <c r="F2412" s="559"/>
      <c r="G2412" s="558"/>
      <c r="H2412" s="559"/>
      <c r="I2412" s="559"/>
      <c r="J2412" s="559"/>
      <c r="K2412" s="560"/>
      <c r="L2412" s="560"/>
      <c r="M2412" s="560"/>
    </row>
    <row r="2413" spans="3:13" s="338" customFormat="1">
      <c r="C2413" s="558"/>
      <c r="D2413" s="559"/>
      <c r="E2413" s="559"/>
      <c r="F2413" s="559"/>
      <c r="G2413" s="558"/>
      <c r="H2413" s="559"/>
      <c r="I2413" s="559"/>
      <c r="J2413" s="559"/>
      <c r="K2413" s="560"/>
      <c r="L2413" s="560"/>
      <c r="M2413" s="560"/>
    </row>
    <row r="2414" spans="3:13" s="338" customFormat="1">
      <c r="C2414" s="558"/>
      <c r="D2414" s="559"/>
      <c r="E2414" s="559"/>
      <c r="F2414" s="559"/>
      <c r="G2414" s="558"/>
      <c r="H2414" s="559"/>
      <c r="I2414" s="559"/>
      <c r="J2414" s="559"/>
      <c r="K2414" s="560"/>
      <c r="L2414" s="560"/>
      <c r="M2414" s="560"/>
    </row>
    <row r="2415" spans="3:13" s="338" customFormat="1">
      <c r="C2415" s="558"/>
      <c r="D2415" s="559"/>
      <c r="E2415" s="559"/>
      <c r="F2415" s="559"/>
      <c r="G2415" s="558"/>
      <c r="H2415" s="559"/>
      <c r="I2415" s="559"/>
      <c r="J2415" s="559"/>
      <c r="K2415" s="560"/>
      <c r="L2415" s="560"/>
      <c r="M2415" s="560"/>
    </row>
    <row r="2416" spans="3:13" s="338" customFormat="1">
      <c r="C2416" s="558"/>
      <c r="D2416" s="559"/>
      <c r="E2416" s="559"/>
      <c r="F2416" s="559"/>
      <c r="G2416" s="558"/>
      <c r="H2416" s="559"/>
      <c r="I2416" s="559"/>
      <c r="J2416" s="559"/>
      <c r="K2416" s="560"/>
      <c r="L2416" s="560"/>
      <c r="M2416" s="560"/>
    </row>
    <row r="2417" spans="3:13" s="338" customFormat="1">
      <c r="C2417" s="558"/>
      <c r="D2417" s="559"/>
      <c r="E2417" s="559"/>
      <c r="F2417" s="559"/>
      <c r="G2417" s="558"/>
      <c r="H2417" s="559"/>
      <c r="I2417" s="559"/>
      <c r="J2417" s="559"/>
      <c r="K2417" s="560"/>
      <c r="L2417" s="560"/>
      <c r="M2417" s="560"/>
    </row>
    <row r="2418" spans="3:13" s="338" customFormat="1">
      <c r="C2418" s="558"/>
      <c r="D2418" s="559"/>
      <c r="E2418" s="559"/>
      <c r="F2418" s="559"/>
      <c r="G2418" s="558"/>
      <c r="H2418" s="559"/>
      <c r="I2418" s="559"/>
      <c r="J2418" s="559"/>
      <c r="K2418" s="560"/>
      <c r="L2418" s="560"/>
      <c r="M2418" s="560"/>
    </row>
    <row r="2419" spans="3:13" s="338" customFormat="1">
      <c r="C2419" s="558"/>
      <c r="D2419" s="559"/>
      <c r="E2419" s="559"/>
      <c r="F2419" s="559"/>
      <c r="G2419" s="558"/>
      <c r="H2419" s="559"/>
      <c r="I2419" s="559"/>
      <c r="J2419" s="559"/>
      <c r="K2419" s="560"/>
      <c r="L2419" s="560"/>
      <c r="M2419" s="560"/>
    </row>
    <row r="2420" spans="3:13" s="338" customFormat="1">
      <c r="C2420" s="558"/>
      <c r="D2420" s="559"/>
      <c r="E2420" s="559"/>
      <c r="F2420" s="559"/>
      <c r="G2420" s="558"/>
      <c r="H2420" s="559"/>
      <c r="I2420" s="559"/>
      <c r="J2420" s="559"/>
      <c r="K2420" s="560"/>
      <c r="L2420" s="560"/>
      <c r="M2420" s="560"/>
    </row>
    <row r="2421" spans="3:13" s="338" customFormat="1">
      <c r="C2421" s="558"/>
      <c r="D2421" s="559"/>
      <c r="E2421" s="559"/>
      <c r="F2421" s="559"/>
      <c r="G2421" s="558"/>
      <c r="H2421" s="559"/>
      <c r="I2421" s="559"/>
      <c r="J2421" s="559"/>
      <c r="K2421" s="560"/>
      <c r="L2421" s="560"/>
      <c r="M2421" s="560"/>
    </row>
    <row r="2422" spans="3:13" s="338" customFormat="1">
      <c r="C2422" s="558"/>
      <c r="D2422" s="559"/>
      <c r="E2422" s="559"/>
      <c r="F2422" s="559"/>
      <c r="G2422" s="558"/>
      <c r="H2422" s="559"/>
      <c r="I2422" s="559"/>
      <c r="J2422" s="559"/>
      <c r="K2422" s="560"/>
      <c r="L2422" s="560"/>
      <c r="M2422" s="560"/>
    </row>
    <row r="2423" spans="3:13" s="338" customFormat="1">
      <c r="C2423" s="558"/>
      <c r="D2423" s="559"/>
      <c r="E2423" s="559"/>
      <c r="F2423" s="559"/>
      <c r="G2423" s="558"/>
      <c r="H2423" s="559"/>
      <c r="I2423" s="559"/>
      <c r="J2423" s="559"/>
      <c r="K2423" s="560"/>
      <c r="L2423" s="560"/>
      <c r="M2423" s="560"/>
    </row>
    <row r="2424" spans="3:13" s="338" customFormat="1">
      <c r="C2424" s="558"/>
      <c r="D2424" s="559"/>
      <c r="E2424" s="559"/>
      <c r="F2424" s="559"/>
      <c r="G2424" s="558"/>
      <c r="H2424" s="559"/>
      <c r="I2424" s="559"/>
      <c r="J2424" s="559"/>
      <c r="K2424" s="560"/>
      <c r="L2424" s="560"/>
      <c r="M2424" s="560"/>
    </row>
    <row r="2425" spans="3:13" s="338" customFormat="1">
      <c r="C2425" s="558"/>
      <c r="D2425" s="559"/>
      <c r="E2425" s="559"/>
      <c r="F2425" s="559"/>
      <c r="G2425" s="558"/>
      <c r="H2425" s="559"/>
      <c r="I2425" s="559"/>
      <c r="J2425" s="559"/>
      <c r="K2425" s="560"/>
      <c r="L2425" s="560"/>
      <c r="M2425" s="560"/>
    </row>
    <row r="2426" spans="3:13" s="338" customFormat="1">
      <c r="C2426" s="558"/>
      <c r="D2426" s="559"/>
      <c r="E2426" s="559"/>
      <c r="F2426" s="559"/>
      <c r="G2426" s="558"/>
      <c r="H2426" s="559"/>
      <c r="I2426" s="559"/>
      <c r="J2426" s="559"/>
      <c r="K2426" s="560"/>
      <c r="L2426" s="560"/>
      <c r="M2426" s="560"/>
    </row>
    <row r="2427" spans="3:13" s="338" customFormat="1">
      <c r="C2427" s="558"/>
      <c r="D2427" s="559"/>
      <c r="E2427" s="559"/>
      <c r="F2427" s="559"/>
      <c r="G2427" s="558"/>
      <c r="H2427" s="559"/>
      <c r="I2427" s="559"/>
      <c r="J2427" s="559"/>
      <c r="K2427" s="560"/>
      <c r="L2427" s="560"/>
      <c r="M2427" s="560"/>
    </row>
    <row r="2428" spans="3:13" s="338" customFormat="1">
      <c r="C2428" s="558"/>
      <c r="D2428" s="559"/>
      <c r="E2428" s="559"/>
      <c r="F2428" s="559"/>
      <c r="G2428" s="558"/>
      <c r="H2428" s="559"/>
      <c r="I2428" s="559"/>
      <c r="J2428" s="559"/>
      <c r="K2428" s="560"/>
      <c r="L2428" s="560"/>
      <c r="M2428" s="560"/>
    </row>
    <row r="2429" spans="3:13" s="338" customFormat="1">
      <c r="C2429" s="558"/>
      <c r="D2429" s="559"/>
      <c r="E2429" s="559"/>
      <c r="F2429" s="559"/>
      <c r="G2429" s="558"/>
      <c r="H2429" s="559"/>
      <c r="I2429" s="559"/>
      <c r="J2429" s="559"/>
      <c r="K2429" s="560"/>
      <c r="L2429" s="560"/>
      <c r="M2429" s="560"/>
    </row>
    <row r="2430" spans="3:13" s="338" customFormat="1">
      <c r="C2430" s="558"/>
      <c r="D2430" s="559"/>
      <c r="E2430" s="559"/>
      <c r="F2430" s="559"/>
      <c r="G2430" s="558"/>
      <c r="H2430" s="559"/>
      <c r="I2430" s="559"/>
      <c r="J2430" s="559"/>
      <c r="K2430" s="560"/>
      <c r="L2430" s="560"/>
      <c r="M2430" s="560"/>
    </row>
    <row r="2431" spans="3:13" s="338" customFormat="1">
      <c r="C2431" s="558"/>
      <c r="D2431" s="559"/>
      <c r="E2431" s="559"/>
      <c r="F2431" s="559"/>
      <c r="G2431" s="558"/>
      <c r="H2431" s="559"/>
      <c r="I2431" s="559"/>
      <c r="J2431" s="559"/>
      <c r="K2431" s="560"/>
      <c r="L2431" s="560"/>
      <c r="M2431" s="560"/>
    </row>
    <row r="2432" spans="3:13" s="338" customFormat="1">
      <c r="C2432" s="558"/>
      <c r="D2432" s="559"/>
      <c r="E2432" s="559"/>
      <c r="F2432" s="559"/>
      <c r="G2432" s="558"/>
      <c r="H2432" s="559"/>
      <c r="I2432" s="559"/>
      <c r="J2432" s="559"/>
      <c r="K2432" s="560"/>
      <c r="L2432" s="560"/>
      <c r="M2432" s="560"/>
    </row>
    <row r="2433" spans="3:13" s="338" customFormat="1">
      <c r="C2433" s="558"/>
      <c r="D2433" s="559"/>
      <c r="E2433" s="559"/>
      <c r="F2433" s="559"/>
      <c r="G2433" s="558"/>
      <c r="H2433" s="559"/>
      <c r="I2433" s="559"/>
      <c r="J2433" s="559"/>
      <c r="K2433" s="560"/>
      <c r="L2433" s="560"/>
      <c r="M2433" s="560"/>
    </row>
    <row r="2434" spans="3:13" s="338" customFormat="1">
      <c r="C2434" s="558"/>
      <c r="D2434" s="559"/>
      <c r="E2434" s="559"/>
      <c r="F2434" s="559"/>
      <c r="G2434" s="558"/>
      <c r="H2434" s="559"/>
      <c r="I2434" s="559"/>
      <c r="J2434" s="559"/>
      <c r="K2434" s="560"/>
      <c r="L2434" s="560"/>
      <c r="M2434" s="560"/>
    </row>
    <row r="2435" spans="3:13" s="338" customFormat="1">
      <c r="C2435" s="558"/>
      <c r="D2435" s="559"/>
      <c r="E2435" s="559"/>
      <c r="F2435" s="559"/>
      <c r="G2435" s="558"/>
      <c r="H2435" s="559"/>
      <c r="I2435" s="559"/>
      <c r="J2435" s="559"/>
      <c r="K2435" s="560"/>
      <c r="L2435" s="560"/>
      <c r="M2435" s="560"/>
    </row>
    <row r="2436" spans="3:13" s="338" customFormat="1">
      <c r="C2436" s="558"/>
      <c r="D2436" s="559"/>
      <c r="E2436" s="559"/>
      <c r="F2436" s="559"/>
      <c r="G2436" s="558"/>
      <c r="H2436" s="559"/>
      <c r="I2436" s="559"/>
      <c r="J2436" s="559"/>
      <c r="K2436" s="560"/>
      <c r="L2436" s="560"/>
      <c r="M2436" s="560"/>
    </row>
    <row r="2437" spans="3:13" s="338" customFormat="1">
      <c r="C2437" s="558"/>
      <c r="D2437" s="559"/>
      <c r="E2437" s="559"/>
      <c r="F2437" s="559"/>
      <c r="G2437" s="558"/>
      <c r="H2437" s="559"/>
      <c r="I2437" s="559"/>
      <c r="J2437" s="559"/>
      <c r="K2437" s="560"/>
      <c r="L2437" s="560"/>
      <c r="M2437" s="560"/>
    </row>
    <row r="2438" spans="3:13" s="338" customFormat="1">
      <c r="C2438" s="558"/>
      <c r="D2438" s="559"/>
      <c r="E2438" s="559"/>
      <c r="F2438" s="559"/>
      <c r="G2438" s="558"/>
      <c r="H2438" s="559"/>
      <c r="I2438" s="559"/>
      <c r="J2438" s="559"/>
      <c r="K2438" s="560"/>
      <c r="L2438" s="560"/>
      <c r="M2438" s="560"/>
    </row>
    <row r="2439" spans="3:13" s="338" customFormat="1">
      <c r="C2439" s="558"/>
      <c r="D2439" s="559"/>
      <c r="E2439" s="559"/>
      <c r="F2439" s="559"/>
      <c r="G2439" s="558"/>
      <c r="H2439" s="559"/>
      <c r="I2439" s="559"/>
      <c r="J2439" s="559"/>
      <c r="K2439" s="560"/>
      <c r="L2439" s="560"/>
      <c r="M2439" s="560"/>
    </row>
    <row r="2440" spans="3:13" s="338" customFormat="1">
      <c r="C2440" s="558"/>
      <c r="D2440" s="559"/>
      <c r="E2440" s="559"/>
      <c r="F2440" s="559"/>
      <c r="G2440" s="558"/>
      <c r="H2440" s="559"/>
      <c r="I2440" s="559"/>
      <c r="J2440" s="559"/>
      <c r="K2440" s="560"/>
      <c r="L2440" s="560"/>
      <c r="M2440" s="560"/>
    </row>
    <row r="2441" spans="3:13" s="338" customFormat="1">
      <c r="C2441" s="558"/>
      <c r="D2441" s="559"/>
      <c r="E2441" s="559"/>
      <c r="F2441" s="559"/>
      <c r="G2441" s="558"/>
      <c r="H2441" s="559"/>
      <c r="I2441" s="559"/>
      <c r="J2441" s="559"/>
      <c r="K2441" s="560"/>
      <c r="L2441" s="560"/>
      <c r="M2441" s="560"/>
    </row>
    <row r="2442" spans="3:13" s="338" customFormat="1">
      <c r="C2442" s="558"/>
      <c r="D2442" s="559"/>
      <c r="E2442" s="559"/>
      <c r="F2442" s="559"/>
      <c r="G2442" s="558"/>
      <c r="H2442" s="559"/>
      <c r="I2442" s="559"/>
      <c r="J2442" s="559"/>
      <c r="K2442" s="560"/>
      <c r="L2442" s="560"/>
      <c r="M2442" s="560"/>
    </row>
    <row r="2443" spans="3:13" s="338" customFormat="1">
      <c r="C2443" s="558"/>
      <c r="D2443" s="559"/>
      <c r="E2443" s="559"/>
      <c r="F2443" s="559"/>
      <c r="G2443" s="558"/>
      <c r="H2443" s="559"/>
      <c r="I2443" s="559"/>
      <c r="J2443" s="559"/>
      <c r="K2443" s="560"/>
      <c r="L2443" s="560"/>
      <c r="M2443" s="560"/>
    </row>
    <row r="2444" spans="3:13" s="338" customFormat="1">
      <c r="C2444" s="558"/>
      <c r="D2444" s="559"/>
      <c r="E2444" s="559"/>
      <c r="F2444" s="559"/>
      <c r="G2444" s="558"/>
      <c r="H2444" s="559"/>
      <c r="I2444" s="559"/>
      <c r="J2444" s="559"/>
      <c r="K2444" s="560"/>
      <c r="L2444" s="560"/>
      <c r="M2444" s="560"/>
    </row>
    <row r="2445" spans="3:13" s="338" customFormat="1">
      <c r="C2445" s="558"/>
      <c r="D2445" s="559"/>
      <c r="E2445" s="559"/>
      <c r="F2445" s="559"/>
      <c r="G2445" s="558"/>
      <c r="H2445" s="559"/>
      <c r="I2445" s="559"/>
      <c r="J2445" s="559"/>
      <c r="K2445" s="560"/>
      <c r="L2445" s="560"/>
      <c r="M2445" s="560"/>
    </row>
    <row r="2446" spans="3:13" s="338" customFormat="1">
      <c r="C2446" s="558"/>
      <c r="D2446" s="559"/>
      <c r="E2446" s="559"/>
      <c r="F2446" s="559"/>
      <c r="G2446" s="558"/>
      <c r="H2446" s="559"/>
      <c r="I2446" s="559"/>
      <c r="J2446" s="559"/>
      <c r="K2446" s="560"/>
      <c r="L2446" s="560"/>
      <c r="M2446" s="560"/>
    </row>
    <row r="2447" spans="3:13" s="338" customFormat="1">
      <c r="C2447" s="558"/>
      <c r="D2447" s="559"/>
      <c r="E2447" s="559"/>
      <c r="F2447" s="559"/>
      <c r="G2447" s="558"/>
      <c r="H2447" s="559"/>
      <c r="I2447" s="559"/>
      <c r="J2447" s="559"/>
      <c r="K2447" s="560"/>
      <c r="L2447" s="560"/>
      <c r="M2447" s="560"/>
    </row>
    <row r="2448" spans="3:13" s="338" customFormat="1">
      <c r="C2448" s="558"/>
      <c r="D2448" s="559"/>
      <c r="E2448" s="559"/>
      <c r="F2448" s="559"/>
      <c r="G2448" s="558"/>
      <c r="H2448" s="559"/>
      <c r="I2448" s="559"/>
      <c r="J2448" s="559"/>
      <c r="K2448" s="560"/>
      <c r="L2448" s="560"/>
      <c r="M2448" s="560"/>
    </row>
    <row r="2449" spans="3:13" s="338" customFormat="1">
      <c r="C2449" s="558"/>
      <c r="D2449" s="559"/>
      <c r="E2449" s="559"/>
      <c r="F2449" s="559"/>
      <c r="G2449" s="558"/>
      <c r="H2449" s="559"/>
      <c r="I2449" s="559"/>
      <c r="J2449" s="559"/>
      <c r="K2449" s="560"/>
      <c r="L2449" s="560"/>
      <c r="M2449" s="560"/>
    </row>
    <row r="2450" spans="3:13" s="338" customFormat="1">
      <c r="C2450" s="558"/>
      <c r="D2450" s="559"/>
      <c r="E2450" s="559"/>
      <c r="F2450" s="559"/>
      <c r="G2450" s="558"/>
      <c r="H2450" s="559"/>
      <c r="I2450" s="559"/>
      <c r="J2450" s="559"/>
      <c r="K2450" s="560"/>
      <c r="L2450" s="560"/>
      <c r="M2450" s="560"/>
    </row>
    <row r="2451" spans="3:13" s="338" customFormat="1">
      <c r="C2451" s="558"/>
      <c r="D2451" s="559"/>
      <c r="E2451" s="559"/>
      <c r="F2451" s="559"/>
      <c r="G2451" s="558"/>
      <c r="H2451" s="559"/>
      <c r="I2451" s="559"/>
      <c r="J2451" s="559"/>
      <c r="K2451" s="560"/>
      <c r="L2451" s="560"/>
      <c r="M2451" s="560"/>
    </row>
    <row r="2452" spans="3:13" s="338" customFormat="1">
      <c r="C2452" s="558"/>
      <c r="D2452" s="559"/>
      <c r="E2452" s="559"/>
      <c r="F2452" s="559"/>
      <c r="G2452" s="558"/>
      <c r="H2452" s="559"/>
      <c r="I2452" s="559"/>
      <c r="J2452" s="559"/>
      <c r="K2452" s="560"/>
      <c r="L2452" s="560"/>
      <c r="M2452" s="560"/>
    </row>
    <row r="2453" spans="3:13" s="338" customFormat="1">
      <c r="C2453" s="558"/>
      <c r="D2453" s="559"/>
      <c r="E2453" s="559"/>
      <c r="F2453" s="559"/>
      <c r="G2453" s="558"/>
      <c r="H2453" s="559"/>
      <c r="I2453" s="559"/>
      <c r="J2453" s="559"/>
      <c r="K2453" s="560"/>
      <c r="L2453" s="560"/>
      <c r="M2453" s="560"/>
    </row>
    <row r="2454" spans="3:13" s="338" customFormat="1">
      <c r="C2454" s="558"/>
      <c r="D2454" s="559"/>
      <c r="E2454" s="559"/>
      <c r="F2454" s="559"/>
      <c r="G2454" s="558"/>
      <c r="H2454" s="559"/>
      <c r="I2454" s="559"/>
      <c r="J2454" s="559"/>
      <c r="K2454" s="560"/>
      <c r="L2454" s="560"/>
      <c r="M2454" s="560"/>
    </row>
    <row r="2455" spans="3:13" s="338" customFormat="1">
      <c r="C2455" s="558"/>
      <c r="D2455" s="559"/>
      <c r="E2455" s="559"/>
      <c r="F2455" s="559"/>
      <c r="G2455" s="558"/>
      <c r="H2455" s="559"/>
      <c r="I2455" s="559"/>
      <c r="J2455" s="559"/>
      <c r="K2455" s="560"/>
      <c r="L2455" s="560"/>
      <c r="M2455" s="560"/>
    </row>
    <row r="2456" spans="3:13" s="338" customFormat="1">
      <c r="C2456" s="558"/>
      <c r="D2456" s="559"/>
      <c r="E2456" s="559"/>
      <c r="F2456" s="559"/>
      <c r="G2456" s="558"/>
      <c r="H2456" s="559"/>
      <c r="I2456" s="559"/>
      <c r="J2456" s="559"/>
      <c r="K2456" s="560"/>
      <c r="L2456" s="560"/>
      <c r="M2456" s="560"/>
    </row>
    <row r="2457" spans="3:13" s="338" customFormat="1">
      <c r="C2457" s="558"/>
      <c r="D2457" s="559"/>
      <c r="E2457" s="559"/>
      <c r="F2457" s="559"/>
      <c r="G2457" s="558"/>
      <c r="H2457" s="559"/>
      <c r="I2457" s="559"/>
      <c r="J2457" s="559"/>
      <c r="K2457" s="560"/>
      <c r="L2457" s="560"/>
      <c r="M2457" s="560"/>
    </row>
    <row r="2458" spans="3:13" s="338" customFormat="1">
      <c r="C2458" s="558"/>
      <c r="D2458" s="559"/>
      <c r="E2458" s="559"/>
      <c r="F2458" s="559"/>
      <c r="G2458" s="558"/>
      <c r="H2458" s="559"/>
      <c r="I2458" s="559"/>
      <c r="J2458" s="559"/>
      <c r="K2458" s="560"/>
      <c r="L2458" s="560"/>
      <c r="M2458" s="560"/>
    </row>
    <row r="2459" spans="3:13" s="338" customFormat="1">
      <c r="C2459" s="558"/>
      <c r="D2459" s="559"/>
      <c r="E2459" s="559"/>
      <c r="F2459" s="559"/>
      <c r="G2459" s="558"/>
      <c r="H2459" s="559"/>
      <c r="I2459" s="559"/>
      <c r="J2459" s="559"/>
      <c r="K2459" s="560"/>
      <c r="L2459" s="560"/>
      <c r="M2459" s="560"/>
    </row>
    <row r="2460" spans="3:13" s="338" customFormat="1">
      <c r="C2460" s="558"/>
      <c r="D2460" s="559"/>
      <c r="E2460" s="559"/>
      <c r="F2460" s="559"/>
      <c r="G2460" s="558"/>
      <c r="H2460" s="559"/>
      <c r="I2460" s="559"/>
      <c r="J2460" s="559"/>
      <c r="K2460" s="560"/>
      <c r="L2460" s="560"/>
      <c r="M2460" s="560"/>
    </row>
    <row r="2461" spans="3:13" s="338" customFormat="1">
      <c r="C2461" s="558"/>
      <c r="D2461" s="559"/>
      <c r="E2461" s="559"/>
      <c r="F2461" s="559"/>
      <c r="G2461" s="558"/>
      <c r="H2461" s="559"/>
      <c r="I2461" s="559"/>
      <c r="J2461" s="559"/>
      <c r="K2461" s="560"/>
      <c r="L2461" s="560"/>
      <c r="M2461" s="560"/>
    </row>
    <row r="2462" spans="3:13" s="338" customFormat="1">
      <c r="C2462" s="558"/>
      <c r="D2462" s="559"/>
      <c r="E2462" s="559"/>
      <c r="F2462" s="559"/>
      <c r="G2462" s="558"/>
      <c r="H2462" s="559"/>
      <c r="I2462" s="559"/>
      <c r="J2462" s="559"/>
      <c r="K2462" s="560"/>
      <c r="L2462" s="560"/>
      <c r="M2462" s="560"/>
    </row>
    <row r="2463" spans="3:13" s="338" customFormat="1">
      <c r="C2463" s="558"/>
      <c r="D2463" s="559"/>
      <c r="E2463" s="559"/>
      <c r="F2463" s="559"/>
      <c r="G2463" s="558"/>
      <c r="H2463" s="559"/>
      <c r="I2463" s="559"/>
      <c r="J2463" s="559"/>
      <c r="K2463" s="560"/>
      <c r="L2463" s="560"/>
      <c r="M2463" s="560"/>
    </row>
    <row r="2464" spans="3:13" s="338" customFormat="1">
      <c r="C2464" s="558"/>
      <c r="D2464" s="559"/>
      <c r="E2464" s="559"/>
      <c r="F2464" s="559"/>
      <c r="G2464" s="558"/>
      <c r="H2464" s="559"/>
      <c r="I2464" s="559"/>
      <c r="J2464" s="559"/>
      <c r="K2464" s="560"/>
      <c r="L2464" s="560"/>
      <c r="M2464" s="560"/>
    </row>
    <row r="2465" spans="3:13" s="338" customFormat="1">
      <c r="C2465" s="558"/>
      <c r="D2465" s="559"/>
      <c r="E2465" s="559"/>
      <c r="F2465" s="559"/>
      <c r="G2465" s="558"/>
      <c r="H2465" s="559"/>
      <c r="I2465" s="559"/>
      <c r="J2465" s="559"/>
      <c r="K2465" s="560"/>
      <c r="L2465" s="560"/>
      <c r="M2465" s="560"/>
    </row>
    <row r="2466" spans="3:13" s="338" customFormat="1">
      <c r="C2466" s="558"/>
      <c r="D2466" s="559"/>
      <c r="E2466" s="559"/>
      <c r="F2466" s="559"/>
      <c r="G2466" s="558"/>
      <c r="H2466" s="559"/>
      <c r="I2466" s="559"/>
      <c r="J2466" s="559"/>
      <c r="K2466" s="560"/>
      <c r="L2466" s="560"/>
      <c r="M2466" s="560"/>
    </row>
    <row r="2467" spans="3:13" s="338" customFormat="1">
      <c r="C2467" s="558"/>
      <c r="D2467" s="559"/>
      <c r="E2467" s="559"/>
      <c r="F2467" s="559"/>
      <c r="G2467" s="558"/>
      <c r="H2467" s="559"/>
      <c r="I2467" s="559"/>
      <c r="J2467" s="559"/>
      <c r="K2467" s="560"/>
      <c r="L2467" s="560"/>
      <c r="M2467" s="560"/>
    </row>
    <row r="2468" spans="3:13" s="338" customFormat="1">
      <c r="C2468" s="558"/>
      <c r="D2468" s="559"/>
      <c r="E2468" s="559"/>
      <c r="F2468" s="559"/>
      <c r="G2468" s="558"/>
      <c r="H2468" s="559"/>
      <c r="I2468" s="559"/>
      <c r="J2468" s="559"/>
      <c r="K2468" s="560"/>
      <c r="L2468" s="560"/>
      <c r="M2468" s="560"/>
    </row>
    <row r="2469" spans="3:13" s="338" customFormat="1">
      <c r="C2469" s="558"/>
      <c r="D2469" s="559"/>
      <c r="E2469" s="559"/>
      <c r="F2469" s="559"/>
      <c r="G2469" s="558"/>
      <c r="H2469" s="559"/>
      <c r="I2469" s="559"/>
      <c r="J2469" s="559"/>
      <c r="K2469" s="560"/>
      <c r="L2469" s="560"/>
      <c r="M2469" s="560"/>
    </row>
    <row r="2470" spans="3:13" s="338" customFormat="1">
      <c r="C2470" s="558"/>
      <c r="D2470" s="559"/>
      <c r="E2470" s="559"/>
      <c r="F2470" s="559"/>
      <c r="G2470" s="558"/>
      <c r="H2470" s="559"/>
      <c r="I2470" s="559"/>
      <c r="J2470" s="559"/>
      <c r="K2470" s="560"/>
      <c r="L2470" s="560"/>
      <c r="M2470" s="560"/>
    </row>
    <row r="2471" spans="3:13" s="338" customFormat="1">
      <c r="C2471" s="558"/>
      <c r="D2471" s="559"/>
      <c r="E2471" s="559"/>
      <c r="F2471" s="559"/>
      <c r="G2471" s="558"/>
      <c r="H2471" s="559"/>
      <c r="I2471" s="559"/>
      <c r="J2471" s="559"/>
      <c r="K2471" s="560"/>
      <c r="L2471" s="560"/>
      <c r="M2471" s="560"/>
    </row>
    <row r="2472" spans="3:13" s="338" customFormat="1">
      <c r="C2472" s="558"/>
      <c r="D2472" s="559"/>
      <c r="E2472" s="559"/>
      <c r="F2472" s="559"/>
      <c r="G2472" s="558"/>
      <c r="H2472" s="559"/>
      <c r="I2472" s="559"/>
      <c r="J2472" s="559"/>
      <c r="K2472" s="560"/>
      <c r="L2472" s="560"/>
      <c r="M2472" s="560"/>
    </row>
    <row r="2473" spans="3:13" s="338" customFormat="1">
      <c r="C2473" s="558"/>
      <c r="D2473" s="559"/>
      <c r="E2473" s="559"/>
      <c r="F2473" s="559"/>
      <c r="G2473" s="558"/>
      <c r="H2473" s="559"/>
      <c r="I2473" s="559"/>
      <c r="J2473" s="559"/>
      <c r="K2473" s="560"/>
      <c r="L2473" s="560"/>
      <c r="M2473" s="560"/>
    </row>
    <row r="2474" spans="3:13" s="338" customFormat="1">
      <c r="C2474" s="558"/>
      <c r="D2474" s="559"/>
      <c r="E2474" s="559"/>
      <c r="F2474" s="559"/>
      <c r="G2474" s="558"/>
      <c r="H2474" s="559"/>
      <c r="I2474" s="559"/>
      <c r="J2474" s="559"/>
      <c r="K2474" s="560"/>
      <c r="L2474" s="560"/>
      <c r="M2474" s="560"/>
    </row>
    <row r="2475" spans="3:13" s="338" customFormat="1">
      <c r="C2475" s="558"/>
      <c r="D2475" s="559"/>
      <c r="E2475" s="559"/>
      <c r="F2475" s="559"/>
      <c r="G2475" s="558"/>
      <c r="H2475" s="559"/>
      <c r="I2475" s="559"/>
      <c r="J2475" s="559"/>
      <c r="K2475" s="560"/>
      <c r="L2475" s="560"/>
      <c r="M2475" s="560"/>
    </row>
    <row r="2476" spans="3:13" s="338" customFormat="1">
      <c r="C2476" s="558"/>
      <c r="D2476" s="559"/>
      <c r="E2476" s="559"/>
      <c r="F2476" s="559"/>
      <c r="G2476" s="558"/>
      <c r="H2476" s="559"/>
      <c r="I2476" s="559"/>
      <c r="J2476" s="559"/>
      <c r="K2476" s="560"/>
      <c r="L2476" s="560"/>
      <c r="M2476" s="560"/>
    </row>
    <row r="2477" spans="3:13" s="338" customFormat="1">
      <c r="C2477" s="558"/>
      <c r="D2477" s="559"/>
      <c r="E2477" s="559"/>
      <c r="F2477" s="559"/>
      <c r="G2477" s="558"/>
      <c r="H2477" s="559"/>
      <c r="I2477" s="559"/>
      <c r="J2477" s="559"/>
      <c r="K2477" s="560"/>
      <c r="L2477" s="560"/>
      <c r="M2477" s="560"/>
    </row>
    <row r="2478" spans="3:13" s="338" customFormat="1">
      <c r="C2478" s="558"/>
      <c r="D2478" s="559"/>
      <c r="E2478" s="559"/>
      <c r="F2478" s="559"/>
      <c r="G2478" s="558"/>
      <c r="H2478" s="559"/>
      <c r="I2478" s="559"/>
      <c r="J2478" s="559"/>
      <c r="K2478" s="560"/>
      <c r="L2478" s="560"/>
      <c r="M2478" s="560"/>
    </row>
    <row r="2479" spans="3:13" s="338" customFormat="1">
      <c r="C2479" s="558"/>
      <c r="D2479" s="559"/>
      <c r="E2479" s="559"/>
      <c r="F2479" s="559"/>
      <c r="G2479" s="558"/>
      <c r="H2479" s="559"/>
      <c r="I2479" s="559"/>
      <c r="J2479" s="559"/>
      <c r="K2479" s="560"/>
      <c r="L2479" s="560"/>
      <c r="M2479" s="560"/>
    </row>
    <row r="2480" spans="3:13" s="338" customFormat="1">
      <c r="C2480" s="558"/>
      <c r="D2480" s="559"/>
      <c r="E2480" s="559"/>
      <c r="F2480" s="559"/>
      <c r="G2480" s="558"/>
      <c r="H2480" s="559"/>
      <c r="I2480" s="559"/>
      <c r="J2480" s="559"/>
      <c r="K2480" s="560"/>
      <c r="L2480" s="560"/>
      <c r="M2480" s="560"/>
    </row>
    <row r="2481" spans="3:13" s="338" customFormat="1">
      <c r="C2481" s="558"/>
      <c r="D2481" s="559"/>
      <c r="E2481" s="559"/>
      <c r="F2481" s="559"/>
      <c r="G2481" s="558"/>
      <c r="H2481" s="559"/>
      <c r="I2481" s="559"/>
      <c r="J2481" s="559"/>
      <c r="K2481" s="560"/>
      <c r="L2481" s="560"/>
      <c r="M2481" s="560"/>
    </row>
    <row r="2482" spans="3:13" s="338" customFormat="1">
      <c r="C2482" s="558"/>
      <c r="D2482" s="559"/>
      <c r="E2482" s="559"/>
      <c r="F2482" s="559"/>
      <c r="G2482" s="558"/>
      <c r="H2482" s="559"/>
      <c r="I2482" s="559"/>
      <c r="J2482" s="559"/>
      <c r="K2482" s="560"/>
      <c r="L2482" s="560"/>
      <c r="M2482" s="560"/>
    </row>
    <row r="2483" spans="3:13" s="338" customFormat="1">
      <c r="C2483" s="558"/>
      <c r="D2483" s="559"/>
      <c r="E2483" s="559"/>
      <c r="F2483" s="559"/>
      <c r="G2483" s="558"/>
      <c r="H2483" s="559"/>
      <c r="I2483" s="559"/>
      <c r="J2483" s="559"/>
      <c r="K2483" s="560"/>
      <c r="L2483" s="560"/>
      <c r="M2483" s="560"/>
    </row>
    <row r="2484" spans="3:13" s="338" customFormat="1">
      <c r="C2484" s="558"/>
      <c r="D2484" s="559"/>
      <c r="E2484" s="559"/>
      <c r="F2484" s="559"/>
      <c r="G2484" s="558"/>
      <c r="H2484" s="559"/>
      <c r="I2484" s="559"/>
      <c r="J2484" s="559"/>
      <c r="K2484" s="560"/>
      <c r="L2484" s="560"/>
      <c r="M2484" s="560"/>
    </row>
    <row r="2485" spans="3:13" s="338" customFormat="1">
      <c r="C2485" s="558"/>
      <c r="D2485" s="559"/>
      <c r="E2485" s="559"/>
      <c r="F2485" s="559"/>
      <c r="G2485" s="558"/>
      <c r="H2485" s="559"/>
      <c r="I2485" s="559"/>
      <c r="J2485" s="559"/>
      <c r="K2485" s="560"/>
      <c r="L2485" s="560"/>
      <c r="M2485" s="560"/>
    </row>
    <row r="2486" spans="3:13" s="338" customFormat="1">
      <c r="C2486" s="558"/>
      <c r="D2486" s="559"/>
      <c r="E2486" s="559"/>
      <c r="F2486" s="559"/>
      <c r="G2486" s="558"/>
      <c r="H2486" s="559"/>
      <c r="I2486" s="559"/>
      <c r="J2486" s="559"/>
      <c r="K2486" s="560"/>
      <c r="L2486" s="560"/>
      <c r="M2486" s="560"/>
    </row>
    <row r="2487" spans="3:13" s="338" customFormat="1">
      <c r="C2487" s="558"/>
      <c r="D2487" s="559"/>
      <c r="E2487" s="559"/>
      <c r="F2487" s="559"/>
      <c r="G2487" s="558"/>
      <c r="H2487" s="559"/>
      <c r="I2487" s="559"/>
      <c r="J2487" s="559"/>
      <c r="K2487" s="560"/>
      <c r="L2487" s="560"/>
      <c r="M2487" s="560"/>
    </row>
    <row r="2488" spans="3:13" s="338" customFormat="1">
      <c r="C2488" s="558"/>
      <c r="D2488" s="559"/>
      <c r="E2488" s="559"/>
      <c r="F2488" s="559"/>
      <c r="G2488" s="558"/>
      <c r="H2488" s="559"/>
      <c r="I2488" s="559"/>
      <c r="J2488" s="559"/>
      <c r="K2488" s="560"/>
      <c r="L2488" s="560"/>
      <c r="M2488" s="560"/>
    </row>
    <row r="2489" spans="3:13" s="338" customFormat="1">
      <c r="C2489" s="558"/>
      <c r="D2489" s="559"/>
      <c r="E2489" s="559"/>
      <c r="F2489" s="559"/>
      <c r="G2489" s="558"/>
      <c r="H2489" s="559"/>
      <c r="I2489" s="559"/>
      <c r="J2489" s="559"/>
      <c r="K2489" s="560"/>
      <c r="L2489" s="560"/>
      <c r="M2489" s="560"/>
    </row>
    <row r="2490" spans="3:13" s="338" customFormat="1">
      <c r="C2490" s="558"/>
      <c r="D2490" s="559"/>
      <c r="E2490" s="559"/>
      <c r="F2490" s="559"/>
      <c r="G2490" s="558"/>
      <c r="H2490" s="559"/>
      <c r="I2490" s="559"/>
      <c r="J2490" s="559"/>
      <c r="K2490" s="560"/>
      <c r="L2490" s="560"/>
      <c r="M2490" s="560"/>
    </row>
    <row r="2491" spans="3:13" s="338" customFormat="1">
      <c r="C2491" s="558"/>
      <c r="D2491" s="559"/>
      <c r="E2491" s="559"/>
      <c r="F2491" s="559"/>
      <c r="G2491" s="558"/>
      <c r="H2491" s="559"/>
      <c r="I2491" s="559"/>
      <c r="J2491" s="559"/>
      <c r="K2491" s="560"/>
      <c r="L2491" s="560"/>
      <c r="M2491" s="560"/>
    </row>
    <row r="2492" spans="3:13" s="338" customFormat="1">
      <c r="C2492" s="558"/>
      <c r="D2492" s="559"/>
      <c r="E2492" s="559"/>
      <c r="F2492" s="559"/>
      <c r="G2492" s="558"/>
      <c r="H2492" s="559"/>
      <c r="I2492" s="559"/>
      <c r="J2492" s="559"/>
      <c r="K2492" s="560"/>
      <c r="L2492" s="560"/>
      <c r="M2492" s="560"/>
    </row>
    <row r="2493" spans="3:13" s="338" customFormat="1">
      <c r="C2493" s="558"/>
      <c r="D2493" s="559"/>
      <c r="E2493" s="559"/>
      <c r="F2493" s="559"/>
      <c r="G2493" s="558"/>
      <c r="H2493" s="559"/>
      <c r="I2493" s="559"/>
      <c r="J2493" s="559"/>
      <c r="K2493" s="560"/>
      <c r="L2493" s="560"/>
      <c r="M2493" s="560"/>
    </row>
    <row r="2494" spans="3:13" s="338" customFormat="1">
      <c r="C2494" s="558"/>
      <c r="D2494" s="559"/>
      <c r="E2494" s="559"/>
      <c r="F2494" s="559"/>
      <c r="G2494" s="558"/>
      <c r="H2494" s="559"/>
      <c r="I2494" s="559"/>
      <c r="J2494" s="559"/>
      <c r="K2494" s="560"/>
      <c r="L2494" s="560"/>
      <c r="M2494" s="560"/>
    </row>
    <row r="2495" spans="3:13" s="338" customFormat="1">
      <c r="C2495" s="558"/>
      <c r="D2495" s="559"/>
      <c r="E2495" s="559"/>
      <c r="F2495" s="559"/>
      <c r="G2495" s="558"/>
      <c r="H2495" s="559"/>
      <c r="I2495" s="559"/>
      <c r="J2495" s="559"/>
      <c r="K2495" s="560"/>
      <c r="L2495" s="560"/>
      <c r="M2495" s="560"/>
    </row>
    <row r="2496" spans="3:13" s="338" customFormat="1">
      <c r="C2496" s="558"/>
      <c r="D2496" s="559"/>
      <c r="E2496" s="559"/>
      <c r="F2496" s="559"/>
      <c r="G2496" s="558"/>
      <c r="H2496" s="559"/>
      <c r="I2496" s="559"/>
      <c r="J2496" s="559"/>
      <c r="K2496" s="560"/>
      <c r="L2496" s="560"/>
      <c r="M2496" s="560"/>
    </row>
    <row r="2497" spans="3:13" s="338" customFormat="1">
      <c r="C2497" s="558"/>
      <c r="D2497" s="559"/>
      <c r="E2497" s="559"/>
      <c r="F2497" s="559"/>
      <c r="G2497" s="558"/>
      <c r="H2497" s="559"/>
      <c r="I2497" s="559"/>
      <c r="J2497" s="559"/>
      <c r="K2497" s="560"/>
      <c r="L2497" s="560"/>
      <c r="M2497" s="560"/>
    </row>
    <row r="2498" spans="3:13" s="338" customFormat="1">
      <c r="C2498" s="558"/>
      <c r="D2498" s="559"/>
      <c r="E2498" s="559"/>
      <c r="F2498" s="559"/>
      <c r="G2498" s="558"/>
      <c r="H2498" s="559"/>
      <c r="I2498" s="559"/>
      <c r="J2498" s="559"/>
      <c r="K2498" s="560"/>
      <c r="L2498" s="560"/>
      <c r="M2498" s="560"/>
    </row>
    <row r="2499" spans="3:13" s="338" customFormat="1">
      <c r="C2499" s="558"/>
      <c r="D2499" s="559"/>
      <c r="E2499" s="559"/>
      <c r="F2499" s="559"/>
      <c r="G2499" s="558"/>
      <c r="H2499" s="559"/>
      <c r="I2499" s="559"/>
      <c r="J2499" s="559"/>
      <c r="K2499" s="560"/>
      <c r="L2499" s="560"/>
      <c r="M2499" s="560"/>
    </row>
    <row r="2500" spans="3:13" s="338" customFormat="1">
      <c r="C2500" s="558"/>
      <c r="D2500" s="559"/>
      <c r="E2500" s="559"/>
      <c r="F2500" s="559"/>
      <c r="G2500" s="558"/>
      <c r="H2500" s="559"/>
      <c r="I2500" s="559"/>
      <c r="J2500" s="559"/>
      <c r="K2500" s="560"/>
      <c r="L2500" s="560"/>
      <c r="M2500" s="560"/>
    </row>
    <row r="2501" spans="3:13" s="338" customFormat="1">
      <c r="C2501" s="558"/>
      <c r="D2501" s="559"/>
      <c r="E2501" s="559"/>
      <c r="F2501" s="559"/>
      <c r="G2501" s="558"/>
      <c r="H2501" s="559"/>
      <c r="I2501" s="559"/>
      <c r="J2501" s="559"/>
      <c r="K2501" s="560"/>
      <c r="L2501" s="560"/>
      <c r="M2501" s="560"/>
    </row>
    <row r="2502" spans="3:13" s="338" customFormat="1">
      <c r="C2502" s="558"/>
      <c r="D2502" s="559"/>
      <c r="E2502" s="559"/>
      <c r="F2502" s="559"/>
      <c r="G2502" s="558"/>
      <c r="H2502" s="559"/>
      <c r="I2502" s="559"/>
      <c r="J2502" s="559"/>
      <c r="K2502" s="560"/>
      <c r="L2502" s="560"/>
      <c r="M2502" s="560"/>
    </row>
    <row r="2503" spans="3:13" s="338" customFormat="1">
      <c r="C2503" s="558"/>
      <c r="D2503" s="559"/>
      <c r="E2503" s="559"/>
      <c r="F2503" s="559"/>
      <c r="G2503" s="558"/>
      <c r="H2503" s="559"/>
      <c r="I2503" s="559"/>
      <c r="J2503" s="559"/>
      <c r="K2503" s="560"/>
      <c r="L2503" s="560"/>
      <c r="M2503" s="560"/>
    </row>
    <row r="2504" spans="3:13" s="338" customFormat="1">
      <c r="C2504" s="558"/>
      <c r="D2504" s="559"/>
      <c r="E2504" s="559"/>
      <c r="F2504" s="559"/>
      <c r="G2504" s="558"/>
      <c r="H2504" s="559"/>
      <c r="I2504" s="559"/>
      <c r="J2504" s="559"/>
      <c r="K2504" s="560"/>
      <c r="L2504" s="560"/>
      <c r="M2504" s="560"/>
    </row>
    <row r="2505" spans="3:13" s="338" customFormat="1">
      <c r="C2505" s="558"/>
      <c r="D2505" s="559"/>
      <c r="E2505" s="559"/>
      <c r="F2505" s="559"/>
      <c r="G2505" s="558"/>
      <c r="H2505" s="559"/>
      <c r="I2505" s="559"/>
      <c r="J2505" s="559"/>
      <c r="K2505" s="560"/>
      <c r="L2505" s="560"/>
      <c r="M2505" s="560"/>
    </row>
    <row r="2506" spans="3:13" s="338" customFormat="1">
      <c r="C2506" s="558"/>
      <c r="D2506" s="559"/>
      <c r="E2506" s="559"/>
      <c r="F2506" s="559"/>
      <c r="G2506" s="558"/>
      <c r="H2506" s="559"/>
      <c r="I2506" s="559"/>
      <c r="J2506" s="559"/>
      <c r="K2506" s="560"/>
      <c r="L2506" s="560"/>
      <c r="M2506" s="560"/>
    </row>
    <row r="2507" spans="3:13" s="338" customFormat="1">
      <c r="C2507" s="558"/>
      <c r="D2507" s="559"/>
      <c r="E2507" s="559"/>
      <c r="F2507" s="559"/>
      <c r="G2507" s="558"/>
      <c r="H2507" s="559"/>
      <c r="I2507" s="559"/>
      <c r="J2507" s="559"/>
      <c r="K2507" s="560"/>
      <c r="L2507" s="560"/>
      <c r="M2507" s="560"/>
    </row>
    <row r="2508" spans="3:13" s="338" customFormat="1">
      <c r="C2508" s="558"/>
      <c r="D2508" s="559"/>
      <c r="E2508" s="559"/>
      <c r="F2508" s="559"/>
      <c r="G2508" s="558"/>
      <c r="H2508" s="559"/>
      <c r="I2508" s="559"/>
      <c r="J2508" s="559"/>
      <c r="K2508" s="560"/>
      <c r="L2508" s="560"/>
      <c r="M2508" s="560"/>
    </row>
    <row r="2509" spans="3:13" s="338" customFormat="1">
      <c r="C2509" s="558"/>
      <c r="D2509" s="559"/>
      <c r="E2509" s="559"/>
      <c r="F2509" s="559"/>
      <c r="G2509" s="558"/>
      <c r="H2509" s="559"/>
      <c r="I2509" s="559"/>
      <c r="J2509" s="559"/>
      <c r="K2509" s="560"/>
      <c r="L2509" s="560"/>
      <c r="M2509" s="560"/>
    </row>
    <row r="2510" spans="3:13" s="338" customFormat="1">
      <c r="C2510" s="558"/>
      <c r="D2510" s="559"/>
      <c r="E2510" s="559"/>
      <c r="F2510" s="559"/>
      <c r="G2510" s="558"/>
      <c r="H2510" s="559"/>
      <c r="I2510" s="559"/>
      <c r="J2510" s="559"/>
      <c r="K2510" s="560"/>
      <c r="L2510" s="560"/>
      <c r="M2510" s="560"/>
    </row>
    <row r="2511" spans="3:13" s="338" customFormat="1">
      <c r="C2511" s="558"/>
      <c r="D2511" s="559"/>
      <c r="E2511" s="559"/>
      <c r="F2511" s="559"/>
      <c r="G2511" s="558"/>
      <c r="H2511" s="559"/>
      <c r="I2511" s="559"/>
      <c r="J2511" s="559"/>
      <c r="K2511" s="560"/>
      <c r="L2511" s="560"/>
      <c r="M2511" s="560"/>
    </row>
    <row r="2512" spans="3:13" s="338" customFormat="1">
      <c r="C2512" s="558"/>
      <c r="D2512" s="559"/>
      <c r="E2512" s="559"/>
      <c r="F2512" s="559"/>
      <c r="G2512" s="558"/>
      <c r="H2512" s="559"/>
      <c r="I2512" s="559"/>
      <c r="J2512" s="559"/>
      <c r="K2512" s="560"/>
      <c r="L2512" s="560"/>
      <c r="M2512" s="560"/>
    </row>
    <row r="2513" spans="3:13" s="338" customFormat="1">
      <c r="C2513" s="558"/>
      <c r="D2513" s="559"/>
      <c r="E2513" s="559"/>
      <c r="F2513" s="559"/>
      <c r="G2513" s="558"/>
      <c r="H2513" s="559"/>
      <c r="I2513" s="559"/>
      <c r="J2513" s="559"/>
      <c r="K2513" s="560"/>
      <c r="L2513" s="560"/>
      <c r="M2513" s="560"/>
    </row>
    <row r="2514" spans="3:13" s="338" customFormat="1">
      <c r="C2514" s="558"/>
      <c r="D2514" s="559"/>
      <c r="E2514" s="559"/>
      <c r="F2514" s="559"/>
      <c r="G2514" s="558"/>
      <c r="H2514" s="559"/>
      <c r="I2514" s="559"/>
      <c r="J2514" s="559"/>
      <c r="K2514" s="560"/>
      <c r="L2514" s="560"/>
      <c r="M2514" s="560"/>
    </row>
    <row r="2515" spans="3:13" s="338" customFormat="1">
      <c r="C2515" s="558"/>
      <c r="D2515" s="559"/>
      <c r="E2515" s="559"/>
      <c r="F2515" s="559"/>
      <c r="G2515" s="558"/>
      <c r="H2515" s="559"/>
      <c r="I2515" s="559"/>
      <c r="J2515" s="559"/>
      <c r="K2515" s="560"/>
      <c r="L2515" s="560"/>
      <c r="M2515" s="560"/>
    </row>
    <row r="2516" spans="3:13" s="338" customFormat="1">
      <c r="C2516" s="558"/>
      <c r="D2516" s="559"/>
      <c r="E2516" s="559"/>
      <c r="F2516" s="559"/>
      <c r="G2516" s="558"/>
      <c r="H2516" s="559"/>
      <c r="I2516" s="559"/>
      <c r="J2516" s="559"/>
      <c r="K2516" s="560"/>
      <c r="L2516" s="560"/>
      <c r="M2516" s="560"/>
    </row>
    <row r="2517" spans="3:13" s="338" customFormat="1">
      <c r="C2517" s="558"/>
      <c r="D2517" s="559"/>
      <c r="E2517" s="559"/>
      <c r="F2517" s="559"/>
      <c r="G2517" s="558"/>
      <c r="H2517" s="559"/>
      <c r="I2517" s="559"/>
      <c r="J2517" s="559"/>
      <c r="K2517" s="560"/>
      <c r="L2517" s="560"/>
      <c r="M2517" s="560"/>
    </row>
    <row r="2518" spans="3:13" s="338" customFormat="1">
      <c r="C2518" s="558"/>
      <c r="D2518" s="559"/>
      <c r="E2518" s="559"/>
      <c r="F2518" s="559"/>
      <c r="G2518" s="558"/>
      <c r="H2518" s="559"/>
      <c r="I2518" s="559"/>
      <c r="J2518" s="559"/>
      <c r="K2518" s="560"/>
      <c r="L2518" s="560"/>
      <c r="M2518" s="560"/>
    </row>
    <row r="2519" spans="3:13" s="338" customFormat="1">
      <c r="C2519" s="558"/>
      <c r="D2519" s="559"/>
      <c r="E2519" s="559"/>
      <c r="F2519" s="559"/>
      <c r="G2519" s="558"/>
      <c r="H2519" s="559"/>
      <c r="I2519" s="559"/>
      <c r="J2519" s="559"/>
      <c r="K2519" s="560"/>
      <c r="L2519" s="560"/>
      <c r="M2519" s="560"/>
    </row>
    <row r="2520" spans="3:13" s="338" customFormat="1">
      <c r="C2520" s="558"/>
      <c r="D2520" s="559"/>
      <c r="E2520" s="559"/>
      <c r="F2520" s="559"/>
      <c r="G2520" s="558"/>
      <c r="H2520" s="559"/>
      <c r="I2520" s="559"/>
      <c r="J2520" s="559"/>
      <c r="K2520" s="560"/>
      <c r="L2520" s="560"/>
      <c r="M2520" s="560"/>
    </row>
    <row r="2521" spans="3:13" s="338" customFormat="1">
      <c r="C2521" s="558"/>
      <c r="D2521" s="559"/>
      <c r="E2521" s="559"/>
      <c r="F2521" s="559"/>
      <c r="G2521" s="558"/>
      <c r="H2521" s="559"/>
      <c r="I2521" s="559"/>
      <c r="J2521" s="559"/>
      <c r="K2521" s="560"/>
      <c r="L2521" s="560"/>
      <c r="M2521" s="560"/>
    </row>
    <row r="2522" spans="3:13" s="338" customFormat="1">
      <c r="C2522" s="558"/>
      <c r="D2522" s="559"/>
      <c r="E2522" s="559"/>
      <c r="F2522" s="559"/>
      <c r="G2522" s="558"/>
      <c r="H2522" s="559"/>
      <c r="I2522" s="559"/>
      <c r="J2522" s="559"/>
      <c r="K2522" s="560"/>
      <c r="L2522" s="560"/>
      <c r="M2522" s="560"/>
    </row>
    <row r="2523" spans="3:13" s="338" customFormat="1">
      <c r="C2523" s="558"/>
      <c r="D2523" s="559"/>
      <c r="E2523" s="559"/>
      <c r="F2523" s="559"/>
      <c r="G2523" s="558"/>
      <c r="H2523" s="559"/>
      <c r="I2523" s="559"/>
      <c r="J2523" s="559"/>
      <c r="K2523" s="560"/>
      <c r="L2523" s="560"/>
      <c r="M2523" s="560"/>
    </row>
    <row r="2524" spans="3:13" s="338" customFormat="1">
      <c r="C2524" s="558"/>
      <c r="D2524" s="559"/>
      <c r="E2524" s="559"/>
      <c r="F2524" s="559"/>
      <c r="G2524" s="558"/>
      <c r="H2524" s="559"/>
      <c r="I2524" s="559"/>
      <c r="J2524" s="559"/>
      <c r="K2524" s="560"/>
      <c r="L2524" s="560"/>
      <c r="M2524" s="560"/>
    </row>
    <row r="2525" spans="3:13" s="338" customFormat="1">
      <c r="C2525" s="558"/>
      <c r="D2525" s="559"/>
      <c r="E2525" s="559"/>
      <c r="F2525" s="559"/>
      <c r="G2525" s="558"/>
      <c r="H2525" s="559"/>
      <c r="I2525" s="559"/>
      <c r="J2525" s="559"/>
      <c r="K2525" s="560"/>
      <c r="L2525" s="560"/>
      <c r="M2525" s="560"/>
    </row>
    <row r="2526" spans="3:13" s="338" customFormat="1">
      <c r="C2526" s="558"/>
      <c r="D2526" s="559"/>
      <c r="E2526" s="559"/>
      <c r="F2526" s="559"/>
      <c r="G2526" s="558"/>
      <c r="H2526" s="559"/>
      <c r="I2526" s="559"/>
      <c r="J2526" s="559"/>
      <c r="K2526" s="560"/>
      <c r="L2526" s="560"/>
      <c r="M2526" s="560"/>
    </row>
    <row r="2527" spans="3:13" s="338" customFormat="1">
      <c r="C2527" s="558"/>
      <c r="D2527" s="559"/>
      <c r="E2527" s="559"/>
      <c r="F2527" s="559"/>
      <c r="G2527" s="558"/>
      <c r="H2527" s="559"/>
      <c r="I2527" s="559"/>
      <c r="J2527" s="559"/>
      <c r="K2527" s="560"/>
      <c r="L2527" s="560"/>
      <c r="M2527" s="560"/>
    </row>
    <row r="2528" spans="3:13" s="338" customFormat="1">
      <c r="C2528" s="558"/>
      <c r="D2528" s="559"/>
      <c r="E2528" s="559"/>
      <c r="F2528" s="559"/>
      <c r="G2528" s="558"/>
      <c r="H2528" s="559"/>
      <c r="I2528" s="559"/>
      <c r="J2528" s="559"/>
      <c r="K2528" s="560"/>
      <c r="L2528" s="560"/>
      <c r="M2528" s="560"/>
    </row>
    <row r="2529" spans="3:13" s="338" customFormat="1">
      <c r="C2529" s="558"/>
      <c r="D2529" s="559"/>
      <c r="E2529" s="559"/>
      <c r="F2529" s="559"/>
      <c r="G2529" s="558"/>
      <c r="H2529" s="559"/>
      <c r="I2529" s="559"/>
      <c r="J2529" s="559"/>
      <c r="K2529" s="560"/>
      <c r="L2529" s="560"/>
      <c r="M2529" s="560"/>
    </row>
    <row r="2530" spans="3:13" s="338" customFormat="1">
      <c r="C2530" s="558"/>
      <c r="D2530" s="559"/>
      <c r="E2530" s="559"/>
      <c r="F2530" s="559"/>
      <c r="G2530" s="558"/>
      <c r="H2530" s="559"/>
      <c r="I2530" s="559"/>
      <c r="J2530" s="559"/>
      <c r="K2530" s="560"/>
      <c r="L2530" s="560"/>
      <c r="M2530" s="560"/>
    </row>
    <row r="2531" spans="3:13" s="338" customFormat="1">
      <c r="C2531" s="558"/>
      <c r="D2531" s="559"/>
      <c r="E2531" s="559"/>
      <c r="F2531" s="559"/>
      <c r="G2531" s="558"/>
      <c r="H2531" s="559"/>
      <c r="I2531" s="559"/>
      <c r="J2531" s="559"/>
      <c r="K2531" s="560"/>
      <c r="L2531" s="560"/>
      <c r="M2531" s="560"/>
    </row>
    <row r="2532" spans="3:13" s="338" customFormat="1">
      <c r="C2532" s="558"/>
      <c r="D2532" s="559"/>
      <c r="E2532" s="559"/>
      <c r="F2532" s="559"/>
      <c r="G2532" s="558"/>
      <c r="H2532" s="559"/>
      <c r="I2532" s="559"/>
      <c r="J2532" s="559"/>
      <c r="K2532" s="560"/>
      <c r="L2532" s="560"/>
      <c r="M2532" s="560"/>
    </row>
    <row r="2533" spans="3:13" s="338" customFormat="1">
      <c r="C2533" s="558"/>
      <c r="D2533" s="559"/>
      <c r="E2533" s="559"/>
      <c r="F2533" s="559"/>
      <c r="G2533" s="558"/>
      <c r="H2533" s="559"/>
      <c r="I2533" s="559"/>
      <c r="J2533" s="559"/>
      <c r="K2533" s="560"/>
      <c r="L2533" s="560"/>
      <c r="M2533" s="560"/>
    </row>
    <row r="2534" spans="3:13" s="338" customFormat="1">
      <c r="C2534" s="558"/>
      <c r="D2534" s="559"/>
      <c r="E2534" s="559"/>
      <c r="F2534" s="559"/>
      <c r="G2534" s="558"/>
      <c r="H2534" s="559"/>
      <c r="I2534" s="559"/>
      <c r="J2534" s="559"/>
      <c r="K2534" s="560"/>
      <c r="L2534" s="560"/>
      <c r="M2534" s="560"/>
    </row>
    <row r="2535" spans="3:13" s="338" customFormat="1">
      <c r="C2535" s="558"/>
      <c r="D2535" s="559"/>
      <c r="E2535" s="559"/>
      <c r="F2535" s="559"/>
      <c r="G2535" s="558"/>
      <c r="H2535" s="559"/>
      <c r="I2535" s="559"/>
      <c r="J2535" s="559"/>
      <c r="K2535" s="560"/>
      <c r="L2535" s="560"/>
      <c r="M2535" s="560"/>
    </row>
    <row r="2536" spans="3:13" s="338" customFormat="1">
      <c r="C2536" s="558"/>
      <c r="D2536" s="559"/>
      <c r="E2536" s="559"/>
      <c r="F2536" s="559"/>
      <c r="G2536" s="558"/>
      <c r="H2536" s="559"/>
      <c r="I2536" s="559"/>
      <c r="J2536" s="559"/>
      <c r="K2536" s="560"/>
      <c r="L2536" s="560"/>
      <c r="M2536" s="560"/>
    </row>
    <row r="2537" spans="3:13" s="338" customFormat="1">
      <c r="C2537" s="558"/>
      <c r="D2537" s="559"/>
      <c r="E2537" s="559"/>
      <c r="F2537" s="559"/>
      <c r="G2537" s="558"/>
      <c r="H2537" s="559"/>
      <c r="I2537" s="559"/>
      <c r="J2537" s="559"/>
      <c r="K2537" s="560"/>
      <c r="L2537" s="560"/>
      <c r="M2537" s="560"/>
    </row>
    <row r="2538" spans="3:13" s="338" customFormat="1">
      <c r="C2538" s="558"/>
      <c r="D2538" s="559"/>
      <c r="E2538" s="559"/>
      <c r="F2538" s="559"/>
      <c r="G2538" s="558"/>
      <c r="H2538" s="559"/>
      <c r="I2538" s="559"/>
      <c r="J2538" s="559"/>
      <c r="K2538" s="560"/>
      <c r="L2538" s="560"/>
      <c r="M2538" s="560"/>
    </row>
    <row r="2539" spans="3:13" s="338" customFormat="1">
      <c r="C2539" s="558"/>
      <c r="D2539" s="559"/>
      <c r="E2539" s="559"/>
      <c r="F2539" s="559"/>
      <c r="G2539" s="558"/>
      <c r="H2539" s="559"/>
      <c r="I2539" s="559"/>
      <c r="J2539" s="559"/>
      <c r="K2539" s="560"/>
      <c r="L2539" s="560"/>
      <c r="M2539" s="560"/>
    </row>
    <row r="2540" spans="3:13" s="338" customFormat="1">
      <c r="C2540" s="558"/>
      <c r="D2540" s="559"/>
      <c r="E2540" s="559"/>
      <c r="F2540" s="559"/>
      <c r="G2540" s="558"/>
      <c r="H2540" s="559"/>
      <c r="I2540" s="559"/>
      <c r="J2540" s="559"/>
      <c r="K2540" s="560"/>
      <c r="L2540" s="560"/>
      <c r="M2540" s="560"/>
    </row>
    <row r="2541" spans="3:13" s="338" customFormat="1">
      <c r="C2541" s="558"/>
      <c r="D2541" s="559"/>
      <c r="E2541" s="559"/>
      <c r="F2541" s="559"/>
      <c r="G2541" s="558"/>
      <c r="H2541" s="559"/>
      <c r="I2541" s="559"/>
      <c r="J2541" s="559"/>
      <c r="K2541" s="560"/>
      <c r="L2541" s="560"/>
      <c r="M2541" s="560"/>
    </row>
    <row r="2542" spans="3:13" s="338" customFormat="1">
      <c r="C2542" s="558"/>
      <c r="D2542" s="559"/>
      <c r="E2542" s="559"/>
      <c r="F2542" s="559"/>
      <c r="G2542" s="558"/>
      <c r="H2542" s="559"/>
      <c r="I2542" s="559"/>
      <c r="J2542" s="559"/>
      <c r="K2542" s="560"/>
      <c r="L2542" s="560"/>
      <c r="M2542" s="560"/>
    </row>
    <row r="2543" spans="3:13" s="338" customFormat="1">
      <c r="C2543" s="558"/>
      <c r="D2543" s="559"/>
      <c r="E2543" s="559"/>
      <c r="F2543" s="559"/>
      <c r="G2543" s="558"/>
      <c r="H2543" s="559"/>
      <c r="I2543" s="559"/>
      <c r="J2543" s="559"/>
      <c r="K2543" s="560"/>
      <c r="L2543" s="560"/>
      <c r="M2543" s="560"/>
    </row>
    <row r="2544" spans="3:13" s="338" customFormat="1">
      <c r="C2544" s="558"/>
      <c r="D2544" s="559"/>
      <c r="E2544" s="559"/>
      <c r="F2544" s="559"/>
      <c r="G2544" s="558"/>
      <c r="H2544" s="559"/>
      <c r="I2544" s="559"/>
      <c r="J2544" s="559"/>
      <c r="K2544" s="560"/>
      <c r="L2544" s="560"/>
      <c r="M2544" s="560"/>
    </row>
    <row r="2545" spans="3:13" s="338" customFormat="1">
      <c r="C2545" s="558"/>
      <c r="D2545" s="559"/>
      <c r="E2545" s="559"/>
      <c r="F2545" s="559"/>
      <c r="G2545" s="558"/>
      <c r="H2545" s="559"/>
      <c r="I2545" s="559"/>
      <c r="J2545" s="559"/>
      <c r="K2545" s="560"/>
      <c r="L2545" s="560"/>
      <c r="M2545" s="560"/>
    </row>
    <row r="2546" spans="3:13" s="338" customFormat="1">
      <c r="C2546" s="558"/>
      <c r="D2546" s="559"/>
      <c r="E2546" s="559"/>
      <c r="F2546" s="559"/>
      <c r="G2546" s="558"/>
      <c r="H2546" s="559"/>
      <c r="I2546" s="559"/>
      <c r="J2546" s="559"/>
      <c r="K2546" s="560"/>
      <c r="L2546" s="560"/>
      <c r="M2546" s="560"/>
    </row>
    <row r="2547" spans="3:13" s="338" customFormat="1">
      <c r="C2547" s="558"/>
      <c r="D2547" s="559"/>
      <c r="E2547" s="559"/>
      <c r="F2547" s="559"/>
      <c r="G2547" s="558"/>
      <c r="H2547" s="559"/>
      <c r="I2547" s="559"/>
      <c r="J2547" s="559"/>
      <c r="K2547" s="560"/>
      <c r="L2547" s="560"/>
      <c r="M2547" s="560"/>
    </row>
    <row r="2548" spans="3:13" s="338" customFormat="1">
      <c r="C2548" s="558"/>
      <c r="D2548" s="559"/>
      <c r="E2548" s="559"/>
      <c r="F2548" s="559"/>
      <c r="G2548" s="558"/>
      <c r="H2548" s="559"/>
      <c r="I2548" s="559"/>
      <c r="J2548" s="559"/>
      <c r="K2548" s="560"/>
      <c r="L2548" s="560"/>
      <c r="M2548" s="560"/>
    </row>
    <row r="2549" spans="3:13" s="338" customFormat="1">
      <c r="C2549" s="558"/>
      <c r="D2549" s="559"/>
      <c r="E2549" s="559"/>
      <c r="F2549" s="559"/>
      <c r="G2549" s="558"/>
      <c r="H2549" s="559"/>
      <c r="I2549" s="559"/>
      <c r="J2549" s="559"/>
      <c r="K2549" s="560"/>
      <c r="L2549" s="560"/>
      <c r="M2549" s="560"/>
    </row>
    <row r="2550" spans="3:13" s="338" customFormat="1">
      <c r="C2550" s="558"/>
      <c r="D2550" s="559"/>
      <c r="E2550" s="559"/>
      <c r="F2550" s="559"/>
      <c r="G2550" s="558"/>
      <c r="H2550" s="559"/>
      <c r="I2550" s="559"/>
      <c r="J2550" s="559"/>
      <c r="K2550" s="560"/>
      <c r="L2550" s="560"/>
      <c r="M2550" s="560"/>
    </row>
    <row r="2551" spans="3:13" s="338" customFormat="1">
      <c r="C2551" s="558"/>
      <c r="D2551" s="559"/>
      <c r="E2551" s="559"/>
      <c r="F2551" s="559"/>
      <c r="G2551" s="558"/>
      <c r="H2551" s="559"/>
      <c r="I2551" s="559"/>
      <c r="J2551" s="559"/>
      <c r="K2551" s="560"/>
      <c r="L2551" s="560"/>
      <c r="M2551" s="560"/>
    </row>
    <row r="2552" spans="3:13" s="338" customFormat="1">
      <c r="C2552" s="558"/>
      <c r="D2552" s="559"/>
      <c r="E2552" s="559"/>
      <c r="F2552" s="559"/>
      <c r="G2552" s="558"/>
      <c r="H2552" s="559"/>
      <c r="I2552" s="559"/>
      <c r="J2552" s="559"/>
      <c r="K2552" s="560"/>
      <c r="L2552" s="560"/>
      <c r="M2552" s="560"/>
    </row>
    <row r="2553" spans="3:13" s="338" customFormat="1">
      <c r="C2553" s="558"/>
      <c r="D2553" s="559"/>
      <c r="E2553" s="559"/>
      <c r="F2553" s="559"/>
      <c r="G2553" s="558"/>
      <c r="H2553" s="559"/>
      <c r="I2553" s="559"/>
      <c r="J2553" s="559"/>
      <c r="K2553" s="560"/>
      <c r="L2553" s="560"/>
      <c r="M2553" s="560"/>
    </row>
    <row r="2554" spans="3:13" s="338" customFormat="1">
      <c r="C2554" s="558"/>
      <c r="D2554" s="559"/>
      <c r="E2554" s="559"/>
      <c r="F2554" s="559"/>
      <c r="G2554" s="558"/>
      <c r="H2554" s="559"/>
      <c r="I2554" s="559"/>
      <c r="J2554" s="559"/>
      <c r="K2554" s="560"/>
      <c r="L2554" s="560"/>
      <c r="M2554" s="560"/>
    </row>
    <row r="2555" spans="3:13" s="338" customFormat="1">
      <c r="C2555" s="558"/>
      <c r="D2555" s="559"/>
      <c r="E2555" s="559"/>
      <c r="F2555" s="559"/>
      <c r="G2555" s="558"/>
      <c r="H2555" s="559"/>
      <c r="I2555" s="559"/>
      <c r="J2555" s="559"/>
      <c r="K2555" s="560"/>
      <c r="L2555" s="560"/>
      <c r="M2555" s="560"/>
    </row>
    <row r="2556" spans="3:13" s="338" customFormat="1">
      <c r="C2556" s="558"/>
      <c r="D2556" s="559"/>
      <c r="E2556" s="559"/>
      <c r="F2556" s="559"/>
      <c r="G2556" s="558"/>
      <c r="H2556" s="559"/>
      <c r="I2556" s="559"/>
      <c r="J2556" s="559"/>
      <c r="K2556" s="560"/>
      <c r="L2556" s="560"/>
      <c r="M2556" s="560"/>
    </row>
    <row r="2557" spans="3:13" s="338" customFormat="1">
      <c r="C2557" s="558"/>
      <c r="D2557" s="559"/>
      <c r="E2557" s="559"/>
      <c r="F2557" s="559"/>
      <c r="G2557" s="558"/>
      <c r="H2557" s="559"/>
      <c r="I2557" s="559"/>
      <c r="J2557" s="559"/>
      <c r="K2557" s="560"/>
      <c r="L2557" s="560"/>
      <c r="M2557" s="560"/>
    </row>
    <row r="2558" spans="3:13" s="338" customFormat="1">
      <c r="C2558" s="558"/>
      <c r="D2558" s="559"/>
      <c r="E2558" s="559"/>
      <c r="F2558" s="559"/>
      <c r="G2558" s="558"/>
      <c r="H2558" s="559"/>
      <c r="I2558" s="559"/>
      <c r="J2558" s="559"/>
      <c r="K2558" s="560"/>
      <c r="L2558" s="560"/>
      <c r="M2558" s="560"/>
    </row>
    <row r="2559" spans="3:13" s="338" customFormat="1">
      <c r="C2559" s="558"/>
      <c r="D2559" s="559"/>
      <c r="E2559" s="559"/>
      <c r="F2559" s="559"/>
      <c r="G2559" s="558"/>
      <c r="H2559" s="559"/>
      <c r="I2559" s="559"/>
      <c r="J2559" s="559"/>
      <c r="K2559" s="560"/>
      <c r="L2559" s="560"/>
      <c r="M2559" s="560"/>
    </row>
    <row r="2560" spans="3:13" s="338" customFormat="1">
      <c r="C2560" s="558"/>
      <c r="D2560" s="559"/>
      <c r="E2560" s="559"/>
      <c r="F2560" s="559"/>
      <c r="G2560" s="558"/>
      <c r="H2560" s="559"/>
      <c r="I2560" s="559"/>
      <c r="J2560" s="559"/>
      <c r="K2560" s="560"/>
      <c r="L2560" s="560"/>
      <c r="M2560" s="560"/>
    </row>
    <row r="2561" spans="3:13" s="338" customFormat="1">
      <c r="C2561" s="558"/>
      <c r="D2561" s="559"/>
      <c r="E2561" s="559"/>
      <c r="F2561" s="559"/>
      <c r="G2561" s="558"/>
      <c r="H2561" s="559"/>
      <c r="I2561" s="559"/>
      <c r="J2561" s="559"/>
      <c r="K2561" s="560"/>
      <c r="L2561" s="560"/>
      <c r="M2561" s="560"/>
    </row>
    <row r="2562" spans="3:13" s="338" customFormat="1">
      <c r="C2562" s="558"/>
      <c r="D2562" s="559"/>
      <c r="E2562" s="559"/>
      <c r="F2562" s="559"/>
      <c r="G2562" s="558"/>
      <c r="H2562" s="559"/>
      <c r="I2562" s="559"/>
      <c r="J2562" s="559"/>
      <c r="K2562" s="560"/>
      <c r="L2562" s="560"/>
      <c r="M2562" s="560"/>
    </row>
    <row r="2563" spans="3:13" s="338" customFormat="1">
      <c r="C2563" s="558"/>
      <c r="D2563" s="559"/>
      <c r="E2563" s="559"/>
      <c r="F2563" s="559"/>
      <c r="G2563" s="558"/>
      <c r="H2563" s="559"/>
      <c r="I2563" s="559"/>
      <c r="J2563" s="559"/>
      <c r="K2563" s="560"/>
      <c r="L2563" s="560"/>
      <c r="M2563" s="560"/>
    </row>
    <row r="2564" spans="3:13" s="338" customFormat="1">
      <c r="C2564" s="558"/>
      <c r="D2564" s="559"/>
      <c r="E2564" s="559"/>
      <c r="F2564" s="559"/>
      <c r="G2564" s="558"/>
      <c r="H2564" s="559"/>
      <c r="I2564" s="559"/>
      <c r="J2564" s="559"/>
      <c r="K2564" s="560"/>
      <c r="L2564" s="560"/>
      <c r="M2564" s="560"/>
    </row>
    <row r="2565" spans="3:13" s="338" customFormat="1">
      <c r="C2565" s="558"/>
      <c r="D2565" s="559"/>
      <c r="E2565" s="559"/>
      <c r="F2565" s="559"/>
      <c r="G2565" s="558"/>
      <c r="H2565" s="559"/>
      <c r="I2565" s="559"/>
      <c r="J2565" s="559"/>
      <c r="K2565" s="560"/>
      <c r="L2565" s="560"/>
      <c r="M2565" s="560"/>
    </row>
    <row r="2566" spans="3:13" s="338" customFormat="1">
      <c r="C2566" s="558"/>
      <c r="D2566" s="559"/>
      <c r="E2566" s="559"/>
      <c r="F2566" s="559"/>
      <c r="G2566" s="558"/>
      <c r="H2566" s="559"/>
      <c r="I2566" s="559"/>
      <c r="J2566" s="559"/>
      <c r="K2566" s="560"/>
      <c r="L2566" s="560"/>
      <c r="M2566" s="560"/>
    </row>
    <row r="2567" spans="3:13" s="338" customFormat="1">
      <c r="C2567" s="558"/>
      <c r="D2567" s="559"/>
      <c r="E2567" s="559"/>
      <c r="F2567" s="559"/>
      <c r="G2567" s="558"/>
      <c r="H2567" s="559"/>
      <c r="I2567" s="559"/>
      <c r="J2567" s="559"/>
      <c r="K2567" s="560"/>
      <c r="L2567" s="560"/>
      <c r="M2567" s="560"/>
    </row>
    <row r="2568" spans="3:13" s="338" customFormat="1">
      <c r="C2568" s="558"/>
      <c r="D2568" s="559"/>
      <c r="E2568" s="559"/>
      <c r="F2568" s="559"/>
      <c r="G2568" s="558"/>
      <c r="H2568" s="559"/>
      <c r="I2568" s="559"/>
      <c r="J2568" s="559"/>
      <c r="K2568" s="560"/>
      <c r="L2568" s="560"/>
      <c r="M2568" s="560"/>
    </row>
    <row r="2569" spans="3:13" s="338" customFormat="1">
      <c r="C2569" s="558"/>
      <c r="D2569" s="559"/>
      <c r="E2569" s="559"/>
      <c r="F2569" s="559"/>
      <c r="G2569" s="558"/>
      <c r="H2569" s="559"/>
      <c r="I2569" s="559"/>
      <c r="J2569" s="559"/>
      <c r="K2569" s="560"/>
      <c r="L2569" s="560"/>
      <c r="M2569" s="560"/>
    </row>
    <row r="2570" spans="3:13" s="338" customFormat="1">
      <c r="C2570" s="558"/>
      <c r="D2570" s="559"/>
      <c r="E2570" s="559"/>
      <c r="F2570" s="559"/>
      <c r="G2570" s="558"/>
      <c r="H2570" s="559"/>
      <c r="I2570" s="559"/>
      <c r="J2570" s="559"/>
      <c r="K2570" s="560"/>
      <c r="L2570" s="560"/>
      <c r="M2570" s="560"/>
    </row>
    <row r="2571" spans="3:13" s="338" customFormat="1">
      <c r="C2571" s="558"/>
      <c r="D2571" s="559"/>
      <c r="E2571" s="559"/>
      <c r="F2571" s="559"/>
      <c r="G2571" s="558"/>
      <c r="H2571" s="559"/>
      <c r="I2571" s="559"/>
      <c r="J2571" s="559"/>
      <c r="K2571" s="560"/>
      <c r="L2571" s="560"/>
      <c r="M2571" s="560"/>
    </row>
    <row r="2572" spans="3:13" s="338" customFormat="1">
      <c r="C2572" s="558"/>
      <c r="D2572" s="559"/>
      <c r="E2572" s="559"/>
      <c r="F2572" s="559"/>
      <c r="G2572" s="558"/>
      <c r="H2572" s="559"/>
      <c r="I2572" s="559"/>
      <c r="J2572" s="559"/>
      <c r="K2572" s="560"/>
      <c r="L2572" s="560"/>
      <c r="M2572" s="560"/>
    </row>
    <row r="2573" spans="3:13" s="338" customFormat="1">
      <c r="C2573" s="558"/>
      <c r="D2573" s="559"/>
      <c r="E2573" s="559"/>
      <c r="F2573" s="559"/>
      <c r="G2573" s="558"/>
      <c r="H2573" s="559"/>
      <c r="I2573" s="559"/>
      <c r="J2573" s="559"/>
      <c r="K2573" s="560"/>
      <c r="L2573" s="560"/>
      <c r="M2573" s="560"/>
    </row>
    <row r="2574" spans="3:13" s="338" customFormat="1">
      <c r="C2574" s="558"/>
      <c r="D2574" s="559"/>
      <c r="E2574" s="559"/>
      <c r="F2574" s="559"/>
      <c r="G2574" s="558"/>
      <c r="H2574" s="559"/>
      <c r="I2574" s="559"/>
      <c r="J2574" s="559"/>
      <c r="K2574" s="560"/>
      <c r="L2574" s="560"/>
      <c r="M2574" s="560"/>
    </row>
    <row r="2575" spans="3:13" s="338" customFormat="1">
      <c r="C2575" s="558"/>
      <c r="D2575" s="559"/>
      <c r="E2575" s="559"/>
      <c r="F2575" s="559"/>
      <c r="G2575" s="558"/>
      <c r="H2575" s="559"/>
      <c r="I2575" s="559"/>
      <c r="J2575" s="559"/>
      <c r="K2575" s="560"/>
      <c r="L2575" s="560"/>
      <c r="M2575" s="560"/>
    </row>
    <row r="2576" spans="3:13" s="338" customFormat="1">
      <c r="C2576" s="558"/>
      <c r="D2576" s="559"/>
      <c r="E2576" s="559"/>
      <c r="F2576" s="559"/>
      <c r="G2576" s="558"/>
      <c r="H2576" s="559"/>
      <c r="I2576" s="559"/>
      <c r="J2576" s="559"/>
      <c r="K2576" s="560"/>
      <c r="L2576" s="560"/>
      <c r="M2576" s="560"/>
    </row>
    <row r="2577" spans="3:13" s="338" customFormat="1">
      <c r="C2577" s="558"/>
      <c r="D2577" s="559"/>
      <c r="E2577" s="559"/>
      <c r="F2577" s="559"/>
      <c r="G2577" s="558"/>
      <c r="H2577" s="559"/>
      <c r="I2577" s="559"/>
      <c r="J2577" s="559"/>
      <c r="K2577" s="560"/>
      <c r="L2577" s="560"/>
      <c r="M2577" s="560"/>
    </row>
    <row r="2578" spans="3:13" s="338" customFormat="1">
      <c r="C2578" s="558"/>
      <c r="D2578" s="559"/>
      <c r="E2578" s="559"/>
      <c r="F2578" s="559"/>
      <c r="G2578" s="558"/>
      <c r="H2578" s="559"/>
      <c r="I2578" s="559"/>
      <c r="J2578" s="559"/>
      <c r="K2578" s="560"/>
      <c r="L2578" s="560"/>
      <c r="M2578" s="560"/>
    </row>
    <row r="2579" spans="3:13" s="338" customFormat="1">
      <c r="C2579" s="558"/>
      <c r="D2579" s="559"/>
      <c r="E2579" s="559"/>
      <c r="F2579" s="559"/>
      <c r="G2579" s="558"/>
      <c r="H2579" s="559"/>
      <c r="I2579" s="559"/>
      <c r="J2579" s="559"/>
      <c r="K2579" s="560"/>
      <c r="L2579" s="560"/>
      <c r="M2579" s="560"/>
    </row>
    <row r="2580" spans="3:13" s="338" customFormat="1">
      <c r="C2580" s="558"/>
      <c r="D2580" s="559"/>
      <c r="E2580" s="559"/>
      <c r="F2580" s="559"/>
      <c r="G2580" s="558"/>
      <c r="H2580" s="559"/>
      <c r="I2580" s="559"/>
      <c r="J2580" s="559"/>
      <c r="K2580" s="560"/>
      <c r="L2580" s="560"/>
      <c r="M2580" s="560"/>
    </row>
    <row r="2581" spans="3:13" s="338" customFormat="1">
      <c r="C2581" s="558"/>
      <c r="D2581" s="559"/>
      <c r="E2581" s="559"/>
      <c r="F2581" s="559"/>
      <c r="G2581" s="558"/>
      <c r="H2581" s="559"/>
      <c r="I2581" s="559"/>
      <c r="J2581" s="559"/>
      <c r="K2581" s="560"/>
      <c r="L2581" s="560"/>
      <c r="M2581" s="560"/>
    </row>
    <row r="2582" spans="3:13" s="338" customFormat="1">
      <c r="C2582" s="558"/>
      <c r="D2582" s="559"/>
      <c r="E2582" s="559"/>
      <c r="F2582" s="559"/>
      <c r="G2582" s="558"/>
      <c r="H2582" s="559"/>
      <c r="I2582" s="559"/>
      <c r="J2582" s="559"/>
      <c r="K2582" s="560"/>
      <c r="L2582" s="560"/>
      <c r="M2582" s="560"/>
    </row>
    <row r="2583" spans="3:13" s="338" customFormat="1">
      <c r="C2583" s="558"/>
      <c r="D2583" s="559"/>
      <c r="E2583" s="559"/>
      <c r="F2583" s="559"/>
      <c r="G2583" s="558"/>
      <c r="H2583" s="559"/>
      <c r="I2583" s="559"/>
      <c r="J2583" s="559"/>
      <c r="K2583" s="560"/>
      <c r="L2583" s="560"/>
      <c r="M2583" s="560"/>
    </row>
    <row r="2584" spans="3:13" s="338" customFormat="1">
      <c r="C2584" s="558"/>
      <c r="D2584" s="559"/>
      <c r="E2584" s="559"/>
      <c r="F2584" s="559"/>
      <c r="G2584" s="558"/>
      <c r="H2584" s="559"/>
      <c r="I2584" s="559"/>
      <c r="J2584" s="559"/>
      <c r="K2584" s="560"/>
      <c r="L2584" s="560"/>
      <c r="M2584" s="560"/>
    </row>
    <row r="2585" spans="3:13" s="338" customFormat="1">
      <c r="C2585" s="558"/>
      <c r="D2585" s="559"/>
      <c r="E2585" s="559"/>
      <c r="F2585" s="559"/>
      <c r="G2585" s="558"/>
      <c r="H2585" s="559"/>
      <c r="I2585" s="559"/>
      <c r="J2585" s="559"/>
      <c r="K2585" s="560"/>
      <c r="L2585" s="560"/>
      <c r="M2585" s="560"/>
    </row>
    <row r="2586" spans="3:13" s="338" customFormat="1">
      <c r="C2586" s="558"/>
      <c r="D2586" s="559"/>
      <c r="E2586" s="559"/>
      <c r="F2586" s="559"/>
      <c r="G2586" s="558"/>
      <c r="H2586" s="559"/>
      <c r="I2586" s="559"/>
      <c r="J2586" s="559"/>
      <c r="K2586" s="560"/>
      <c r="L2586" s="560"/>
      <c r="M2586" s="560"/>
    </row>
    <row r="2587" spans="3:13" s="338" customFormat="1">
      <c r="C2587" s="558"/>
      <c r="D2587" s="559"/>
      <c r="E2587" s="559"/>
      <c r="F2587" s="559"/>
      <c r="G2587" s="558"/>
      <c r="H2587" s="559"/>
      <c r="I2587" s="559"/>
      <c r="J2587" s="559"/>
      <c r="K2587" s="560"/>
      <c r="L2587" s="560"/>
      <c r="M2587" s="560"/>
    </row>
    <row r="2588" spans="3:13" s="338" customFormat="1">
      <c r="C2588" s="558"/>
      <c r="D2588" s="559"/>
      <c r="E2588" s="559"/>
      <c r="F2588" s="559"/>
      <c r="G2588" s="558"/>
      <c r="H2588" s="559"/>
      <c r="I2588" s="559"/>
      <c r="J2588" s="559"/>
      <c r="K2588" s="560"/>
      <c r="L2588" s="560"/>
      <c r="M2588" s="560"/>
    </row>
    <row r="2589" spans="3:13" s="338" customFormat="1">
      <c r="C2589" s="558"/>
      <c r="D2589" s="559"/>
      <c r="E2589" s="559"/>
      <c r="F2589" s="559"/>
      <c r="G2589" s="558"/>
      <c r="H2589" s="559"/>
      <c r="I2589" s="559"/>
      <c r="J2589" s="559"/>
      <c r="K2589" s="560"/>
      <c r="L2589" s="560"/>
      <c r="M2589" s="560"/>
    </row>
    <row r="2590" spans="3:13" s="338" customFormat="1">
      <c r="C2590" s="558"/>
      <c r="D2590" s="559"/>
      <c r="E2590" s="559"/>
      <c r="F2590" s="559"/>
      <c r="G2590" s="558"/>
      <c r="H2590" s="559"/>
      <c r="I2590" s="559"/>
      <c r="J2590" s="559"/>
      <c r="K2590" s="560"/>
      <c r="L2590" s="560"/>
      <c r="M2590" s="560"/>
    </row>
    <row r="2591" spans="3:13" s="338" customFormat="1">
      <c r="C2591" s="558"/>
      <c r="D2591" s="559"/>
      <c r="E2591" s="559"/>
      <c r="F2591" s="559"/>
      <c r="G2591" s="558"/>
      <c r="H2591" s="559"/>
      <c r="I2591" s="559"/>
      <c r="J2591" s="559"/>
      <c r="K2591" s="560"/>
      <c r="L2591" s="560"/>
      <c r="M2591" s="560"/>
    </row>
    <row r="2592" spans="3:13" s="338" customFormat="1">
      <c r="C2592" s="558"/>
      <c r="D2592" s="559"/>
      <c r="E2592" s="559"/>
      <c r="F2592" s="559"/>
      <c r="G2592" s="558"/>
      <c r="H2592" s="559"/>
      <c r="I2592" s="559"/>
      <c r="J2592" s="559"/>
      <c r="K2592" s="560"/>
      <c r="L2592" s="560"/>
      <c r="M2592" s="560"/>
    </row>
    <row r="2593" spans="3:13" s="338" customFormat="1">
      <c r="C2593" s="558"/>
      <c r="D2593" s="559"/>
      <c r="E2593" s="559"/>
      <c r="F2593" s="559"/>
      <c r="G2593" s="558"/>
      <c r="H2593" s="559"/>
      <c r="I2593" s="559"/>
      <c r="J2593" s="559"/>
      <c r="K2593" s="560"/>
      <c r="L2593" s="560"/>
      <c r="M2593" s="560"/>
    </row>
    <row r="2594" spans="3:13" s="338" customFormat="1">
      <c r="C2594" s="558"/>
      <c r="D2594" s="559"/>
      <c r="E2594" s="559"/>
      <c r="F2594" s="559"/>
      <c r="G2594" s="558"/>
      <c r="H2594" s="559"/>
      <c r="I2594" s="559"/>
      <c r="J2594" s="559"/>
      <c r="K2594" s="560"/>
      <c r="L2594" s="560"/>
      <c r="M2594" s="560"/>
    </row>
    <row r="2595" spans="3:13" s="338" customFormat="1">
      <c r="C2595" s="558"/>
      <c r="D2595" s="559"/>
      <c r="E2595" s="559"/>
      <c r="F2595" s="559"/>
      <c r="G2595" s="558"/>
      <c r="H2595" s="559"/>
      <c r="I2595" s="559"/>
      <c r="J2595" s="559"/>
      <c r="K2595" s="560"/>
      <c r="L2595" s="560"/>
      <c r="M2595" s="560"/>
    </row>
    <row r="2596" spans="3:13" s="338" customFormat="1">
      <c r="C2596" s="558"/>
      <c r="D2596" s="559"/>
      <c r="E2596" s="559"/>
      <c r="F2596" s="559"/>
      <c r="G2596" s="558"/>
      <c r="H2596" s="559"/>
      <c r="I2596" s="559"/>
      <c r="J2596" s="559"/>
      <c r="K2596" s="560"/>
      <c r="L2596" s="560"/>
      <c r="M2596" s="560"/>
    </row>
    <row r="2597" spans="3:13" s="338" customFormat="1">
      <c r="C2597" s="558"/>
      <c r="D2597" s="559"/>
      <c r="E2597" s="559"/>
      <c r="F2597" s="559"/>
      <c r="G2597" s="558"/>
      <c r="H2597" s="559"/>
      <c r="I2597" s="559"/>
      <c r="J2597" s="559"/>
      <c r="K2597" s="560"/>
      <c r="L2597" s="560"/>
      <c r="M2597" s="560"/>
    </row>
    <row r="2598" spans="3:13" s="338" customFormat="1">
      <c r="C2598" s="558"/>
      <c r="D2598" s="559"/>
      <c r="E2598" s="559"/>
      <c r="F2598" s="559"/>
      <c r="G2598" s="558"/>
      <c r="H2598" s="559"/>
      <c r="I2598" s="559"/>
      <c r="J2598" s="559"/>
      <c r="K2598" s="560"/>
      <c r="L2598" s="560"/>
      <c r="M2598" s="560"/>
    </row>
    <row r="2599" spans="3:13" s="338" customFormat="1">
      <c r="C2599" s="558"/>
      <c r="D2599" s="559"/>
      <c r="E2599" s="559"/>
      <c r="F2599" s="559"/>
      <c r="G2599" s="558"/>
      <c r="H2599" s="559"/>
      <c r="I2599" s="559"/>
      <c r="J2599" s="559"/>
      <c r="K2599" s="560"/>
      <c r="L2599" s="560"/>
      <c r="M2599" s="560"/>
    </row>
    <row r="2600" spans="3:13" s="338" customFormat="1">
      <c r="C2600" s="558"/>
      <c r="D2600" s="559"/>
      <c r="E2600" s="559"/>
      <c r="F2600" s="559"/>
      <c r="G2600" s="558"/>
      <c r="H2600" s="559"/>
      <c r="I2600" s="559"/>
      <c r="J2600" s="559"/>
      <c r="K2600" s="560"/>
      <c r="L2600" s="560"/>
      <c r="M2600" s="560"/>
    </row>
    <row r="2601" spans="3:13" s="338" customFormat="1">
      <c r="C2601" s="558"/>
      <c r="D2601" s="559"/>
      <c r="E2601" s="559"/>
      <c r="F2601" s="559"/>
      <c r="G2601" s="558"/>
      <c r="H2601" s="559"/>
      <c r="I2601" s="559"/>
      <c r="J2601" s="559"/>
      <c r="K2601" s="560"/>
      <c r="L2601" s="560"/>
      <c r="M2601" s="560"/>
    </row>
    <row r="2602" spans="3:13" s="338" customFormat="1">
      <c r="C2602" s="558"/>
      <c r="D2602" s="559"/>
      <c r="E2602" s="559"/>
      <c r="F2602" s="559"/>
      <c r="G2602" s="558"/>
      <c r="H2602" s="559"/>
      <c r="I2602" s="559"/>
      <c r="J2602" s="559"/>
      <c r="K2602" s="560"/>
      <c r="L2602" s="560"/>
      <c r="M2602" s="560"/>
    </row>
    <row r="2603" spans="3:13" s="338" customFormat="1">
      <c r="C2603" s="558"/>
      <c r="D2603" s="559"/>
      <c r="E2603" s="559"/>
      <c r="F2603" s="559"/>
      <c r="G2603" s="558"/>
      <c r="H2603" s="559"/>
      <c r="I2603" s="559"/>
      <c r="J2603" s="559"/>
      <c r="K2603" s="560"/>
      <c r="L2603" s="560"/>
      <c r="M2603" s="560"/>
    </row>
    <row r="2604" spans="3:13" s="338" customFormat="1">
      <c r="C2604" s="558"/>
      <c r="D2604" s="559"/>
      <c r="E2604" s="559"/>
      <c r="F2604" s="559"/>
      <c r="G2604" s="558"/>
      <c r="H2604" s="559"/>
      <c r="I2604" s="559"/>
      <c r="J2604" s="559"/>
      <c r="K2604" s="560"/>
      <c r="L2604" s="560"/>
      <c r="M2604" s="560"/>
    </row>
    <row r="2605" spans="3:13" s="338" customFormat="1">
      <c r="C2605" s="558"/>
      <c r="D2605" s="559"/>
      <c r="E2605" s="559"/>
      <c r="F2605" s="559"/>
      <c r="G2605" s="558"/>
      <c r="H2605" s="559"/>
      <c r="I2605" s="559"/>
      <c r="J2605" s="559"/>
      <c r="K2605" s="560"/>
      <c r="L2605" s="560"/>
      <c r="M2605" s="560"/>
    </row>
    <row r="2606" spans="3:13" s="338" customFormat="1">
      <c r="C2606" s="558"/>
      <c r="D2606" s="559"/>
      <c r="E2606" s="559"/>
      <c r="F2606" s="559"/>
      <c r="G2606" s="558"/>
      <c r="H2606" s="559"/>
      <c r="I2606" s="559"/>
      <c r="J2606" s="559"/>
      <c r="K2606" s="560"/>
      <c r="L2606" s="560"/>
      <c r="M2606" s="560"/>
    </row>
    <row r="2607" spans="3:13" s="338" customFormat="1">
      <c r="C2607" s="558"/>
      <c r="D2607" s="559"/>
      <c r="E2607" s="559"/>
      <c r="F2607" s="559"/>
      <c r="G2607" s="558"/>
      <c r="H2607" s="559"/>
      <c r="I2607" s="559"/>
      <c r="J2607" s="559"/>
      <c r="K2607" s="560"/>
      <c r="L2607" s="560"/>
      <c r="M2607" s="560"/>
    </row>
    <row r="2608" spans="3:13" s="338" customFormat="1">
      <c r="C2608" s="558"/>
      <c r="D2608" s="559"/>
      <c r="E2608" s="559"/>
      <c r="F2608" s="559"/>
      <c r="G2608" s="558"/>
      <c r="H2608" s="559"/>
      <c r="I2608" s="559"/>
      <c r="J2608" s="559"/>
      <c r="K2608" s="560"/>
      <c r="L2608" s="560"/>
      <c r="M2608" s="560"/>
    </row>
    <row r="2609" spans="3:13" s="338" customFormat="1">
      <c r="C2609" s="558"/>
      <c r="D2609" s="559"/>
      <c r="E2609" s="559"/>
      <c r="F2609" s="559"/>
      <c r="G2609" s="558"/>
      <c r="H2609" s="559"/>
      <c r="I2609" s="559"/>
      <c r="J2609" s="559"/>
      <c r="K2609" s="560"/>
      <c r="L2609" s="560"/>
      <c r="M2609" s="560"/>
    </row>
    <row r="2610" spans="3:13" s="338" customFormat="1">
      <c r="C2610" s="558"/>
      <c r="D2610" s="559"/>
      <c r="E2610" s="559"/>
      <c r="F2610" s="559"/>
      <c r="G2610" s="558"/>
      <c r="H2610" s="559"/>
      <c r="I2610" s="559"/>
      <c r="J2610" s="559"/>
      <c r="K2610" s="560"/>
      <c r="L2610" s="560"/>
      <c r="M2610" s="560"/>
    </row>
    <row r="2611" spans="3:13" s="338" customFormat="1">
      <c r="C2611" s="558"/>
      <c r="D2611" s="559"/>
      <c r="E2611" s="559"/>
      <c r="F2611" s="559"/>
      <c r="G2611" s="558"/>
      <c r="H2611" s="559"/>
      <c r="I2611" s="559"/>
      <c r="J2611" s="559"/>
      <c r="K2611" s="560"/>
      <c r="L2611" s="560"/>
      <c r="M2611" s="560"/>
    </row>
    <row r="2612" spans="3:13" s="338" customFormat="1">
      <c r="C2612" s="558"/>
      <c r="D2612" s="559"/>
      <c r="E2612" s="559"/>
      <c r="F2612" s="559"/>
      <c r="G2612" s="558"/>
      <c r="H2612" s="559"/>
      <c r="I2612" s="559"/>
      <c r="J2612" s="559"/>
      <c r="K2612" s="560"/>
      <c r="L2612" s="560"/>
      <c r="M2612" s="560"/>
    </row>
    <row r="2613" spans="3:13" s="338" customFormat="1">
      <c r="C2613" s="558"/>
      <c r="D2613" s="559"/>
      <c r="E2613" s="559"/>
      <c r="F2613" s="559"/>
      <c r="G2613" s="558"/>
      <c r="H2613" s="559"/>
      <c r="I2613" s="559"/>
      <c r="J2613" s="559"/>
      <c r="K2613" s="560"/>
      <c r="L2613" s="560"/>
      <c r="M2613" s="560"/>
    </row>
    <row r="2614" spans="3:13" s="338" customFormat="1">
      <c r="C2614" s="558"/>
      <c r="D2614" s="559"/>
      <c r="E2614" s="559"/>
      <c r="F2614" s="559"/>
      <c r="G2614" s="558"/>
      <c r="H2614" s="559"/>
      <c r="I2614" s="559"/>
      <c r="J2614" s="559"/>
      <c r="K2614" s="560"/>
      <c r="L2614" s="560"/>
      <c r="M2614" s="560"/>
    </row>
    <row r="2615" spans="3:13" s="338" customFormat="1">
      <c r="C2615" s="558"/>
      <c r="D2615" s="559"/>
      <c r="E2615" s="559"/>
      <c r="F2615" s="559"/>
      <c r="G2615" s="558"/>
      <c r="H2615" s="559"/>
      <c r="I2615" s="559"/>
      <c r="J2615" s="559"/>
      <c r="K2615" s="560"/>
      <c r="L2615" s="560"/>
      <c r="M2615" s="560"/>
    </row>
    <row r="2616" spans="3:13" s="338" customFormat="1">
      <c r="C2616" s="558"/>
      <c r="D2616" s="559"/>
      <c r="E2616" s="559"/>
      <c r="F2616" s="559"/>
      <c r="G2616" s="558"/>
      <c r="H2616" s="559"/>
      <c r="I2616" s="559"/>
      <c r="J2616" s="559"/>
      <c r="K2616" s="560"/>
      <c r="L2616" s="560"/>
      <c r="M2616" s="560"/>
    </row>
    <row r="2617" spans="3:13" s="338" customFormat="1">
      <c r="C2617" s="558"/>
      <c r="D2617" s="559"/>
      <c r="E2617" s="559"/>
      <c r="F2617" s="559"/>
      <c r="G2617" s="558"/>
      <c r="H2617" s="559"/>
      <c r="I2617" s="559"/>
      <c r="J2617" s="559"/>
      <c r="K2617" s="560"/>
      <c r="L2617" s="560"/>
      <c r="M2617" s="560"/>
    </row>
    <row r="2618" spans="3:13" s="338" customFormat="1">
      <c r="C2618" s="558"/>
      <c r="D2618" s="559"/>
      <c r="E2618" s="559"/>
      <c r="F2618" s="559"/>
      <c r="G2618" s="558"/>
      <c r="H2618" s="559"/>
      <c r="I2618" s="559"/>
      <c r="J2618" s="559"/>
      <c r="K2618" s="560"/>
      <c r="L2618" s="560"/>
      <c r="M2618" s="560"/>
    </row>
    <row r="2619" spans="3:13" s="338" customFormat="1">
      <c r="C2619" s="558"/>
      <c r="D2619" s="559"/>
      <c r="E2619" s="559"/>
      <c r="F2619" s="559"/>
      <c r="G2619" s="558"/>
      <c r="H2619" s="559"/>
      <c r="I2619" s="559"/>
      <c r="J2619" s="559"/>
      <c r="K2619" s="560"/>
      <c r="L2619" s="560"/>
      <c r="M2619" s="560"/>
    </row>
    <row r="2620" spans="3:13" s="338" customFormat="1">
      <c r="C2620" s="558"/>
      <c r="D2620" s="559"/>
      <c r="E2620" s="559"/>
      <c r="F2620" s="559"/>
      <c r="G2620" s="558"/>
      <c r="H2620" s="559"/>
      <c r="I2620" s="559"/>
      <c r="J2620" s="559"/>
      <c r="K2620" s="560"/>
      <c r="L2620" s="560"/>
      <c r="M2620" s="560"/>
    </row>
    <row r="2621" spans="3:13" s="338" customFormat="1">
      <c r="C2621" s="558"/>
      <c r="D2621" s="559"/>
      <c r="E2621" s="559"/>
      <c r="F2621" s="559"/>
      <c r="G2621" s="558"/>
      <c r="H2621" s="559"/>
      <c r="I2621" s="559"/>
      <c r="J2621" s="559"/>
      <c r="K2621" s="560"/>
      <c r="L2621" s="560"/>
      <c r="M2621" s="560"/>
    </row>
    <row r="2622" spans="3:13" s="338" customFormat="1">
      <c r="C2622" s="558"/>
      <c r="D2622" s="559"/>
      <c r="E2622" s="559"/>
      <c r="F2622" s="559"/>
      <c r="G2622" s="558"/>
      <c r="H2622" s="559"/>
      <c r="I2622" s="559"/>
      <c r="J2622" s="559"/>
      <c r="K2622" s="560"/>
      <c r="L2622" s="560"/>
      <c r="M2622" s="560"/>
    </row>
    <row r="2623" spans="3:13" s="338" customFormat="1">
      <c r="C2623" s="558"/>
      <c r="D2623" s="559"/>
      <c r="E2623" s="559"/>
      <c r="F2623" s="559"/>
      <c r="G2623" s="558"/>
      <c r="H2623" s="559"/>
      <c r="I2623" s="559"/>
      <c r="J2623" s="559"/>
      <c r="K2623" s="560"/>
      <c r="L2623" s="560"/>
      <c r="M2623" s="560"/>
    </row>
    <row r="2624" spans="3:13" s="338" customFormat="1">
      <c r="C2624" s="558"/>
      <c r="D2624" s="559"/>
      <c r="E2624" s="559"/>
      <c r="F2624" s="559"/>
      <c r="G2624" s="558"/>
      <c r="H2624" s="559"/>
      <c r="I2624" s="559"/>
      <c r="J2624" s="559"/>
      <c r="K2624" s="560"/>
      <c r="L2624" s="560"/>
      <c r="M2624" s="560"/>
    </row>
    <row r="2625" spans="3:13" s="338" customFormat="1">
      <c r="C2625" s="558"/>
      <c r="D2625" s="559"/>
      <c r="E2625" s="559"/>
      <c r="F2625" s="559"/>
      <c r="G2625" s="558"/>
      <c r="H2625" s="559"/>
      <c r="I2625" s="559"/>
      <c r="J2625" s="559"/>
      <c r="K2625" s="560"/>
      <c r="L2625" s="560"/>
      <c r="M2625" s="560"/>
    </row>
    <row r="2626" spans="3:13" s="338" customFormat="1">
      <c r="C2626" s="558"/>
      <c r="D2626" s="559"/>
      <c r="E2626" s="559"/>
      <c r="F2626" s="559"/>
      <c r="G2626" s="558"/>
      <c r="H2626" s="559"/>
      <c r="I2626" s="559"/>
      <c r="J2626" s="559"/>
      <c r="K2626" s="560"/>
      <c r="L2626" s="560"/>
      <c r="M2626" s="560"/>
    </row>
    <row r="2627" spans="3:13" s="338" customFormat="1">
      <c r="C2627" s="558"/>
      <c r="D2627" s="559"/>
      <c r="E2627" s="559"/>
      <c r="F2627" s="559"/>
      <c r="G2627" s="558"/>
      <c r="H2627" s="559"/>
      <c r="I2627" s="559"/>
      <c r="J2627" s="559"/>
      <c r="K2627" s="560"/>
      <c r="L2627" s="560"/>
      <c r="M2627" s="560"/>
    </row>
    <row r="2628" spans="3:13" s="338" customFormat="1">
      <c r="C2628" s="558"/>
      <c r="D2628" s="559"/>
      <c r="E2628" s="559"/>
      <c r="F2628" s="559"/>
      <c r="G2628" s="558"/>
      <c r="H2628" s="559"/>
      <c r="I2628" s="559"/>
      <c r="J2628" s="559"/>
      <c r="K2628" s="560"/>
      <c r="L2628" s="560"/>
      <c r="M2628" s="560"/>
    </row>
    <row r="2629" spans="3:13" s="338" customFormat="1">
      <c r="C2629" s="558"/>
      <c r="D2629" s="559"/>
      <c r="E2629" s="559"/>
      <c r="F2629" s="559"/>
      <c r="G2629" s="558"/>
      <c r="H2629" s="559"/>
      <c r="I2629" s="559"/>
      <c r="J2629" s="559"/>
      <c r="K2629" s="560"/>
      <c r="L2629" s="560"/>
      <c r="M2629" s="560"/>
    </row>
    <row r="2630" spans="3:13" s="338" customFormat="1">
      <c r="C2630" s="558"/>
      <c r="D2630" s="559"/>
      <c r="E2630" s="559"/>
      <c r="F2630" s="559"/>
      <c r="G2630" s="558"/>
      <c r="H2630" s="559"/>
      <c r="I2630" s="559"/>
      <c r="J2630" s="559"/>
      <c r="K2630" s="560"/>
      <c r="L2630" s="560"/>
      <c r="M2630" s="560"/>
    </row>
    <row r="2631" spans="3:13" s="338" customFormat="1">
      <c r="C2631" s="558"/>
      <c r="D2631" s="559"/>
      <c r="E2631" s="559"/>
      <c r="F2631" s="559"/>
      <c r="G2631" s="558"/>
      <c r="H2631" s="559"/>
      <c r="I2631" s="559"/>
      <c r="J2631" s="559"/>
      <c r="K2631" s="560"/>
      <c r="L2631" s="560"/>
      <c r="M2631" s="560"/>
    </row>
    <row r="2632" spans="3:13" s="338" customFormat="1">
      <c r="C2632" s="558"/>
      <c r="D2632" s="559"/>
      <c r="E2632" s="559"/>
      <c r="F2632" s="559"/>
      <c r="G2632" s="558"/>
      <c r="H2632" s="559"/>
      <c r="I2632" s="559"/>
      <c r="J2632" s="559"/>
      <c r="K2632" s="560"/>
      <c r="L2632" s="560"/>
      <c r="M2632" s="560"/>
    </row>
    <row r="2633" spans="3:13" s="338" customFormat="1">
      <c r="C2633" s="558"/>
      <c r="D2633" s="559"/>
      <c r="E2633" s="559"/>
      <c r="F2633" s="559"/>
      <c r="G2633" s="558"/>
      <c r="H2633" s="559"/>
      <c r="I2633" s="559"/>
      <c r="J2633" s="559"/>
      <c r="K2633" s="560"/>
      <c r="L2633" s="560"/>
      <c r="M2633" s="560"/>
    </row>
    <row r="2634" spans="3:13" s="338" customFormat="1">
      <c r="C2634" s="558"/>
      <c r="D2634" s="559"/>
      <c r="E2634" s="559"/>
      <c r="F2634" s="559"/>
      <c r="G2634" s="558"/>
      <c r="H2634" s="559"/>
      <c r="I2634" s="559"/>
      <c r="J2634" s="559"/>
      <c r="K2634" s="560"/>
      <c r="L2634" s="560"/>
      <c r="M2634" s="560"/>
    </row>
    <row r="2635" spans="3:13" s="338" customFormat="1">
      <c r="C2635" s="558"/>
      <c r="D2635" s="559"/>
      <c r="E2635" s="559"/>
      <c r="F2635" s="559"/>
      <c r="G2635" s="558"/>
      <c r="H2635" s="559"/>
      <c r="I2635" s="559"/>
      <c r="J2635" s="559"/>
      <c r="K2635" s="560"/>
      <c r="L2635" s="560"/>
      <c r="M2635" s="560"/>
    </row>
    <row r="2636" spans="3:13" s="338" customFormat="1">
      <c r="C2636" s="558"/>
      <c r="D2636" s="559"/>
      <c r="E2636" s="559"/>
      <c r="F2636" s="559"/>
      <c r="G2636" s="558"/>
      <c r="H2636" s="559"/>
      <c r="I2636" s="559"/>
      <c r="J2636" s="559"/>
      <c r="K2636" s="560"/>
      <c r="L2636" s="560"/>
      <c r="M2636" s="560"/>
    </row>
    <row r="2637" spans="3:13" s="338" customFormat="1">
      <c r="C2637" s="558"/>
      <c r="D2637" s="559"/>
      <c r="E2637" s="559"/>
      <c r="F2637" s="559"/>
      <c r="G2637" s="558"/>
      <c r="H2637" s="559"/>
      <c r="I2637" s="559"/>
      <c r="J2637" s="559"/>
      <c r="K2637" s="560"/>
      <c r="L2637" s="560"/>
      <c r="M2637" s="560"/>
    </row>
    <row r="2638" spans="3:13" s="338" customFormat="1">
      <c r="C2638" s="558"/>
      <c r="D2638" s="559"/>
      <c r="E2638" s="559"/>
      <c r="F2638" s="559"/>
      <c r="G2638" s="558"/>
      <c r="H2638" s="559"/>
      <c r="I2638" s="559"/>
      <c r="J2638" s="559"/>
      <c r="K2638" s="560"/>
      <c r="L2638" s="560"/>
      <c r="M2638" s="560"/>
    </row>
    <row r="2639" spans="3:13" s="338" customFormat="1">
      <c r="C2639" s="558"/>
      <c r="D2639" s="559"/>
      <c r="E2639" s="559"/>
      <c r="F2639" s="559"/>
      <c r="G2639" s="558"/>
      <c r="H2639" s="559"/>
      <c r="I2639" s="559"/>
      <c r="J2639" s="559"/>
      <c r="K2639" s="560"/>
      <c r="L2639" s="560"/>
      <c r="M2639" s="560"/>
    </row>
    <row r="2640" spans="3:13" s="338" customFormat="1">
      <c r="C2640" s="558"/>
      <c r="D2640" s="559"/>
      <c r="E2640" s="559"/>
      <c r="F2640" s="559"/>
      <c r="G2640" s="558"/>
      <c r="H2640" s="559"/>
      <c r="I2640" s="559"/>
      <c r="J2640" s="559"/>
      <c r="K2640" s="560"/>
      <c r="L2640" s="560"/>
      <c r="M2640" s="560"/>
    </row>
    <row r="2641" spans="3:13" s="338" customFormat="1">
      <c r="C2641" s="558"/>
      <c r="D2641" s="559"/>
      <c r="E2641" s="559"/>
      <c r="F2641" s="559"/>
      <c r="G2641" s="558"/>
      <c r="H2641" s="559"/>
      <c r="I2641" s="559"/>
      <c r="J2641" s="559"/>
      <c r="K2641" s="560"/>
      <c r="L2641" s="560"/>
      <c r="M2641" s="560"/>
    </row>
    <row r="2642" spans="3:13" s="338" customFormat="1">
      <c r="C2642" s="558"/>
      <c r="D2642" s="559"/>
      <c r="E2642" s="559"/>
      <c r="F2642" s="559"/>
      <c r="G2642" s="558"/>
      <c r="H2642" s="559"/>
      <c r="I2642" s="559"/>
      <c r="J2642" s="559"/>
      <c r="K2642" s="560"/>
      <c r="L2642" s="560"/>
      <c r="M2642" s="560"/>
    </row>
    <row r="2643" spans="3:13" s="338" customFormat="1">
      <c r="C2643" s="558"/>
      <c r="D2643" s="559"/>
      <c r="E2643" s="559"/>
      <c r="F2643" s="559"/>
      <c r="G2643" s="558"/>
      <c r="H2643" s="559"/>
      <c r="I2643" s="559"/>
      <c r="J2643" s="559"/>
      <c r="K2643" s="560"/>
      <c r="L2643" s="560"/>
      <c r="M2643" s="560"/>
    </row>
    <row r="2644" spans="3:13" s="338" customFormat="1">
      <c r="C2644" s="558"/>
      <c r="D2644" s="559"/>
      <c r="E2644" s="559"/>
      <c r="F2644" s="559"/>
      <c r="G2644" s="558"/>
      <c r="H2644" s="559"/>
      <c r="I2644" s="559"/>
      <c r="J2644" s="559"/>
      <c r="K2644" s="560"/>
      <c r="L2644" s="560"/>
      <c r="M2644" s="560"/>
    </row>
    <row r="2645" spans="3:13" s="338" customFormat="1">
      <c r="C2645" s="558"/>
      <c r="D2645" s="559"/>
      <c r="E2645" s="559"/>
      <c r="F2645" s="559"/>
      <c r="G2645" s="558"/>
      <c r="H2645" s="559"/>
      <c r="I2645" s="559"/>
      <c r="J2645" s="559"/>
      <c r="K2645" s="560"/>
      <c r="L2645" s="560"/>
      <c r="M2645" s="560"/>
    </row>
    <row r="2646" spans="3:13" s="338" customFormat="1">
      <c r="C2646" s="558"/>
      <c r="D2646" s="559"/>
      <c r="E2646" s="559"/>
      <c r="F2646" s="559"/>
      <c r="G2646" s="558"/>
      <c r="H2646" s="559"/>
      <c r="I2646" s="559"/>
      <c r="J2646" s="559"/>
      <c r="K2646" s="560"/>
      <c r="L2646" s="560"/>
      <c r="M2646" s="560"/>
    </row>
    <row r="2647" spans="3:13" s="338" customFormat="1">
      <c r="C2647" s="558"/>
      <c r="D2647" s="559"/>
      <c r="E2647" s="559"/>
      <c r="F2647" s="559"/>
      <c r="G2647" s="558"/>
      <c r="H2647" s="559"/>
      <c r="I2647" s="559"/>
      <c r="J2647" s="559"/>
      <c r="K2647" s="560"/>
      <c r="L2647" s="560"/>
      <c r="M2647" s="560"/>
    </row>
    <row r="2648" spans="3:13" s="338" customFormat="1">
      <c r="C2648" s="558"/>
      <c r="D2648" s="559"/>
      <c r="E2648" s="559"/>
      <c r="F2648" s="559"/>
      <c r="G2648" s="558"/>
      <c r="H2648" s="559"/>
      <c r="I2648" s="559"/>
      <c r="J2648" s="559"/>
      <c r="K2648" s="560"/>
      <c r="L2648" s="560"/>
      <c r="M2648" s="560"/>
    </row>
    <row r="2649" spans="3:13" s="338" customFormat="1">
      <c r="C2649" s="558"/>
      <c r="D2649" s="559"/>
      <c r="E2649" s="559"/>
      <c r="F2649" s="559"/>
      <c r="G2649" s="558"/>
      <c r="H2649" s="559"/>
      <c r="I2649" s="559"/>
      <c r="J2649" s="559"/>
      <c r="K2649" s="560"/>
      <c r="L2649" s="560"/>
      <c r="M2649" s="560"/>
    </row>
    <row r="2650" spans="3:13" s="338" customFormat="1">
      <c r="C2650" s="558"/>
      <c r="D2650" s="559"/>
      <c r="E2650" s="559"/>
      <c r="F2650" s="559"/>
      <c r="G2650" s="558"/>
      <c r="H2650" s="559"/>
      <c r="I2650" s="559"/>
      <c r="J2650" s="559"/>
      <c r="K2650" s="560"/>
      <c r="L2650" s="560"/>
      <c r="M2650" s="560"/>
    </row>
    <row r="2651" spans="3:13" s="338" customFormat="1">
      <c r="C2651" s="558"/>
      <c r="D2651" s="559"/>
      <c r="E2651" s="559"/>
      <c r="F2651" s="559"/>
      <c r="G2651" s="558"/>
      <c r="H2651" s="559"/>
      <c r="I2651" s="559"/>
      <c r="J2651" s="559"/>
      <c r="K2651" s="560"/>
      <c r="L2651" s="560"/>
      <c r="M2651" s="560"/>
    </row>
    <row r="2652" spans="3:13" s="338" customFormat="1">
      <c r="C2652" s="558"/>
      <c r="D2652" s="559"/>
      <c r="E2652" s="559"/>
      <c r="F2652" s="559"/>
      <c r="G2652" s="558"/>
      <c r="H2652" s="559"/>
      <c r="I2652" s="559"/>
      <c r="J2652" s="559"/>
      <c r="K2652" s="560"/>
      <c r="L2652" s="560"/>
      <c r="M2652" s="560"/>
    </row>
    <row r="2653" spans="3:13" s="338" customFormat="1">
      <c r="C2653" s="558"/>
      <c r="D2653" s="559"/>
      <c r="E2653" s="559"/>
      <c r="F2653" s="559"/>
      <c r="G2653" s="558"/>
      <c r="H2653" s="559"/>
      <c r="I2653" s="559"/>
      <c r="J2653" s="559"/>
      <c r="K2653" s="560"/>
      <c r="L2653" s="560"/>
      <c r="M2653" s="560"/>
    </row>
    <row r="2654" spans="3:13" s="338" customFormat="1">
      <c r="C2654" s="558"/>
      <c r="D2654" s="559"/>
      <c r="E2654" s="559"/>
      <c r="F2654" s="559"/>
      <c r="G2654" s="558"/>
      <c r="H2654" s="559"/>
      <c r="I2654" s="559"/>
      <c r="J2654" s="559"/>
      <c r="K2654" s="560"/>
      <c r="L2654" s="560"/>
      <c r="M2654" s="560"/>
    </row>
    <row r="2655" spans="3:13" s="338" customFormat="1">
      <c r="C2655" s="558"/>
      <c r="D2655" s="559"/>
      <c r="E2655" s="559"/>
      <c r="F2655" s="559"/>
      <c r="G2655" s="558"/>
      <c r="H2655" s="559"/>
      <c r="I2655" s="559"/>
      <c r="J2655" s="559"/>
      <c r="K2655" s="560"/>
      <c r="L2655" s="560"/>
      <c r="M2655" s="560"/>
    </row>
    <row r="2656" spans="3:13" s="338" customFormat="1">
      <c r="C2656" s="558"/>
      <c r="D2656" s="559"/>
      <c r="E2656" s="559"/>
      <c r="F2656" s="559"/>
      <c r="G2656" s="558"/>
      <c r="H2656" s="559"/>
      <c r="I2656" s="559"/>
      <c r="J2656" s="559"/>
      <c r="K2656" s="560"/>
      <c r="L2656" s="560"/>
      <c r="M2656" s="560"/>
    </row>
    <row r="2657" spans="3:13" s="338" customFormat="1">
      <c r="C2657" s="558"/>
      <c r="D2657" s="559"/>
      <c r="E2657" s="559"/>
      <c r="F2657" s="559"/>
      <c r="G2657" s="558"/>
      <c r="H2657" s="559"/>
      <c r="I2657" s="559"/>
      <c r="J2657" s="559"/>
      <c r="K2657" s="560"/>
      <c r="L2657" s="560"/>
      <c r="M2657" s="560"/>
    </row>
    <row r="2658" spans="3:13" s="338" customFormat="1">
      <c r="C2658" s="558"/>
      <c r="D2658" s="559"/>
      <c r="E2658" s="559"/>
      <c r="F2658" s="559"/>
      <c r="G2658" s="558"/>
      <c r="H2658" s="559"/>
      <c r="I2658" s="559"/>
      <c r="J2658" s="559"/>
      <c r="K2658" s="560"/>
      <c r="L2658" s="560"/>
      <c r="M2658" s="560"/>
    </row>
    <row r="2659" spans="3:13" s="338" customFormat="1">
      <c r="C2659" s="558"/>
      <c r="D2659" s="559"/>
      <c r="E2659" s="559"/>
      <c r="F2659" s="559"/>
      <c r="G2659" s="558"/>
      <c r="H2659" s="559"/>
      <c r="I2659" s="559"/>
      <c r="J2659" s="559"/>
      <c r="K2659" s="560"/>
      <c r="L2659" s="560"/>
      <c r="M2659" s="560"/>
    </row>
    <row r="2660" spans="3:13" s="338" customFormat="1">
      <c r="C2660" s="558"/>
      <c r="D2660" s="559"/>
      <c r="E2660" s="559"/>
      <c r="F2660" s="559"/>
      <c r="G2660" s="558"/>
      <c r="H2660" s="559"/>
      <c r="I2660" s="559"/>
      <c r="J2660" s="559"/>
      <c r="K2660" s="560"/>
      <c r="L2660" s="560"/>
      <c r="M2660" s="560"/>
    </row>
    <row r="2661" spans="3:13" s="338" customFormat="1">
      <c r="C2661" s="558"/>
      <c r="D2661" s="559"/>
      <c r="E2661" s="559"/>
      <c r="F2661" s="559"/>
      <c r="G2661" s="558"/>
      <c r="H2661" s="559"/>
      <c r="I2661" s="559"/>
      <c r="J2661" s="559"/>
      <c r="K2661" s="560"/>
      <c r="L2661" s="560"/>
      <c r="M2661" s="560"/>
    </row>
    <row r="2662" spans="3:13" s="338" customFormat="1">
      <c r="C2662" s="558"/>
      <c r="D2662" s="559"/>
      <c r="E2662" s="559"/>
      <c r="F2662" s="559"/>
      <c r="G2662" s="558"/>
      <c r="H2662" s="559"/>
      <c r="I2662" s="559"/>
      <c r="J2662" s="559"/>
      <c r="K2662" s="560"/>
      <c r="L2662" s="560"/>
      <c r="M2662" s="560"/>
    </row>
    <row r="2663" spans="3:13" s="338" customFormat="1">
      <c r="C2663" s="558"/>
      <c r="D2663" s="559"/>
      <c r="E2663" s="559"/>
      <c r="F2663" s="559"/>
      <c r="G2663" s="558"/>
      <c r="H2663" s="559"/>
      <c r="I2663" s="559"/>
      <c r="J2663" s="559"/>
      <c r="K2663" s="560"/>
      <c r="L2663" s="560"/>
      <c r="M2663" s="560"/>
    </row>
    <row r="2664" spans="3:13" s="338" customFormat="1">
      <c r="C2664" s="558"/>
      <c r="D2664" s="559"/>
      <c r="E2664" s="559"/>
      <c r="F2664" s="559"/>
      <c r="G2664" s="558"/>
      <c r="H2664" s="559"/>
      <c r="I2664" s="559"/>
      <c r="J2664" s="559"/>
      <c r="K2664" s="560"/>
      <c r="L2664" s="560"/>
      <c r="M2664" s="560"/>
    </row>
    <row r="2665" spans="3:13" s="338" customFormat="1">
      <c r="C2665" s="558"/>
      <c r="D2665" s="559"/>
      <c r="E2665" s="559"/>
      <c r="F2665" s="559"/>
      <c r="G2665" s="558"/>
      <c r="H2665" s="559"/>
      <c r="I2665" s="559"/>
      <c r="J2665" s="559"/>
      <c r="K2665" s="560"/>
      <c r="L2665" s="560"/>
      <c r="M2665" s="560"/>
    </row>
    <row r="2666" spans="3:13" s="338" customFormat="1">
      <c r="C2666" s="558"/>
      <c r="D2666" s="559"/>
      <c r="E2666" s="559"/>
      <c r="F2666" s="559"/>
      <c r="G2666" s="558"/>
      <c r="H2666" s="559"/>
      <c r="I2666" s="559"/>
      <c r="J2666" s="559"/>
      <c r="K2666" s="560"/>
      <c r="L2666" s="560"/>
      <c r="M2666" s="560"/>
    </row>
    <row r="2667" spans="3:13" s="338" customFormat="1">
      <c r="C2667" s="558"/>
      <c r="D2667" s="559"/>
      <c r="E2667" s="559"/>
      <c r="F2667" s="559"/>
      <c r="G2667" s="558"/>
      <c r="H2667" s="559"/>
      <c r="I2667" s="559"/>
      <c r="J2667" s="559"/>
      <c r="K2667" s="560"/>
      <c r="L2667" s="560"/>
      <c r="M2667" s="560"/>
    </row>
    <row r="2668" spans="3:13" s="338" customFormat="1">
      <c r="C2668" s="558"/>
      <c r="D2668" s="559"/>
      <c r="E2668" s="559"/>
      <c r="F2668" s="559"/>
      <c r="G2668" s="558"/>
      <c r="H2668" s="559"/>
      <c r="I2668" s="559"/>
      <c r="J2668" s="559"/>
      <c r="K2668" s="560"/>
      <c r="L2668" s="560"/>
      <c r="M2668" s="560"/>
    </row>
    <row r="2669" spans="3:13" s="338" customFormat="1">
      <c r="C2669" s="558"/>
      <c r="D2669" s="559"/>
      <c r="E2669" s="559"/>
      <c r="F2669" s="559"/>
      <c r="G2669" s="558"/>
      <c r="H2669" s="559"/>
      <c r="I2669" s="559"/>
      <c r="J2669" s="559"/>
      <c r="K2669" s="560"/>
      <c r="L2669" s="560"/>
      <c r="M2669" s="560"/>
    </row>
    <row r="2670" spans="3:13" s="338" customFormat="1">
      <c r="C2670" s="558"/>
      <c r="D2670" s="559"/>
      <c r="E2670" s="559"/>
      <c r="F2670" s="559"/>
      <c r="G2670" s="558"/>
      <c r="H2670" s="559"/>
      <c r="I2670" s="559"/>
      <c r="J2670" s="559"/>
      <c r="K2670" s="560"/>
      <c r="L2670" s="560"/>
      <c r="M2670" s="560"/>
    </row>
    <row r="2671" spans="3:13" s="338" customFormat="1">
      <c r="C2671" s="558"/>
      <c r="D2671" s="559"/>
      <c r="E2671" s="559"/>
      <c r="F2671" s="559"/>
      <c r="G2671" s="558"/>
      <c r="H2671" s="559"/>
      <c r="I2671" s="559"/>
      <c r="J2671" s="559"/>
      <c r="K2671" s="560"/>
      <c r="L2671" s="560"/>
      <c r="M2671" s="560"/>
    </row>
    <row r="2672" spans="3:13" s="338" customFormat="1">
      <c r="C2672" s="558"/>
      <c r="D2672" s="559"/>
      <c r="E2672" s="559"/>
      <c r="F2672" s="559"/>
      <c r="G2672" s="558"/>
      <c r="H2672" s="559"/>
      <c r="I2672" s="559"/>
      <c r="J2672" s="559"/>
      <c r="K2672" s="560"/>
      <c r="L2672" s="560"/>
      <c r="M2672" s="560"/>
    </row>
    <row r="2673" spans="3:13" s="338" customFormat="1">
      <c r="C2673" s="558"/>
      <c r="D2673" s="559"/>
      <c r="E2673" s="559"/>
      <c r="F2673" s="559"/>
      <c r="G2673" s="558"/>
      <c r="H2673" s="559"/>
      <c r="I2673" s="559"/>
      <c r="J2673" s="559"/>
      <c r="K2673" s="560"/>
      <c r="L2673" s="560"/>
      <c r="M2673" s="560"/>
    </row>
    <row r="2674" spans="3:13" s="338" customFormat="1">
      <c r="C2674" s="558"/>
      <c r="D2674" s="559"/>
      <c r="E2674" s="559"/>
      <c r="F2674" s="559"/>
      <c r="G2674" s="558"/>
      <c r="H2674" s="559"/>
      <c r="I2674" s="559"/>
      <c r="J2674" s="559"/>
      <c r="K2674" s="560"/>
      <c r="L2674" s="560"/>
      <c r="M2674" s="560"/>
    </row>
    <row r="2675" spans="3:13" s="338" customFormat="1">
      <c r="C2675" s="558"/>
      <c r="D2675" s="559"/>
      <c r="E2675" s="559"/>
      <c r="F2675" s="559"/>
      <c r="G2675" s="558"/>
      <c r="H2675" s="559"/>
      <c r="I2675" s="559"/>
      <c r="J2675" s="559"/>
      <c r="K2675" s="560"/>
      <c r="L2675" s="560"/>
      <c r="M2675" s="560"/>
    </row>
    <row r="2676" spans="3:13" s="338" customFormat="1">
      <c r="C2676" s="558"/>
      <c r="D2676" s="559"/>
      <c r="E2676" s="559"/>
      <c r="F2676" s="559"/>
      <c r="G2676" s="558"/>
      <c r="H2676" s="559"/>
      <c r="I2676" s="559"/>
      <c r="J2676" s="559"/>
      <c r="K2676" s="560"/>
      <c r="L2676" s="560"/>
      <c r="M2676" s="560"/>
    </row>
    <row r="2677" spans="3:13" s="338" customFormat="1">
      <c r="C2677" s="558"/>
      <c r="D2677" s="559"/>
      <c r="E2677" s="559"/>
      <c r="F2677" s="559"/>
      <c r="G2677" s="558"/>
      <c r="H2677" s="559"/>
      <c r="I2677" s="559"/>
      <c r="J2677" s="559"/>
      <c r="K2677" s="560"/>
      <c r="L2677" s="560"/>
      <c r="M2677" s="560"/>
    </row>
    <row r="2678" spans="3:13" s="338" customFormat="1">
      <c r="C2678" s="558"/>
      <c r="D2678" s="559"/>
      <c r="E2678" s="559"/>
      <c r="F2678" s="559"/>
      <c r="G2678" s="558"/>
      <c r="H2678" s="559"/>
      <c r="I2678" s="559"/>
      <c r="J2678" s="559"/>
      <c r="K2678" s="560"/>
      <c r="L2678" s="560"/>
      <c r="M2678" s="560"/>
    </row>
    <row r="2679" spans="3:13" s="338" customFormat="1">
      <c r="C2679" s="558"/>
      <c r="D2679" s="559"/>
      <c r="E2679" s="559"/>
      <c r="F2679" s="559"/>
      <c r="G2679" s="558"/>
      <c r="H2679" s="559"/>
      <c r="I2679" s="559"/>
      <c r="J2679" s="559"/>
      <c r="K2679" s="560"/>
      <c r="L2679" s="560"/>
      <c r="M2679" s="560"/>
    </row>
    <row r="2680" spans="3:13" s="338" customFormat="1">
      <c r="C2680" s="558"/>
      <c r="D2680" s="559"/>
      <c r="E2680" s="559"/>
      <c r="F2680" s="559"/>
      <c r="G2680" s="558"/>
      <c r="H2680" s="559"/>
      <c r="I2680" s="559"/>
      <c r="J2680" s="559"/>
      <c r="K2680" s="560"/>
      <c r="L2680" s="560"/>
      <c r="M2680" s="560"/>
    </row>
    <row r="2681" spans="3:13" s="338" customFormat="1">
      <c r="C2681" s="558"/>
      <c r="D2681" s="559"/>
      <c r="E2681" s="559"/>
      <c r="F2681" s="559"/>
      <c r="G2681" s="558"/>
      <c r="H2681" s="559"/>
      <c r="I2681" s="559"/>
      <c r="J2681" s="559"/>
      <c r="K2681" s="560"/>
      <c r="L2681" s="560"/>
      <c r="M2681" s="560"/>
    </row>
    <row r="2682" spans="3:13" s="338" customFormat="1">
      <c r="C2682" s="558"/>
      <c r="D2682" s="559"/>
      <c r="E2682" s="559"/>
      <c r="F2682" s="559"/>
      <c r="G2682" s="558"/>
      <c r="H2682" s="559"/>
      <c r="I2682" s="559"/>
      <c r="J2682" s="559"/>
      <c r="K2682" s="560"/>
      <c r="L2682" s="560"/>
      <c r="M2682" s="560"/>
    </row>
    <row r="2683" spans="3:13" s="338" customFormat="1">
      <c r="C2683" s="558"/>
      <c r="D2683" s="559"/>
      <c r="E2683" s="559"/>
      <c r="F2683" s="559"/>
      <c r="G2683" s="558"/>
      <c r="H2683" s="559"/>
      <c r="I2683" s="559"/>
      <c r="J2683" s="559"/>
      <c r="K2683" s="560"/>
      <c r="L2683" s="560"/>
      <c r="M2683" s="560"/>
    </row>
    <row r="2684" spans="3:13" s="338" customFormat="1">
      <c r="C2684" s="558"/>
      <c r="D2684" s="559"/>
      <c r="E2684" s="559"/>
      <c r="F2684" s="559"/>
      <c r="G2684" s="558"/>
      <c r="H2684" s="559"/>
      <c r="I2684" s="559"/>
      <c r="J2684" s="559"/>
      <c r="K2684" s="560"/>
      <c r="L2684" s="560"/>
      <c r="M2684" s="560"/>
    </row>
    <row r="2685" spans="3:13" s="338" customFormat="1">
      <c r="C2685" s="558"/>
      <c r="D2685" s="559"/>
      <c r="E2685" s="559"/>
      <c r="F2685" s="559"/>
      <c r="G2685" s="558"/>
      <c r="H2685" s="559"/>
      <c r="I2685" s="559"/>
      <c r="J2685" s="559"/>
      <c r="K2685" s="560"/>
      <c r="L2685" s="560"/>
      <c r="M2685" s="560"/>
    </row>
    <row r="2686" spans="3:13" s="338" customFormat="1">
      <c r="C2686" s="558"/>
      <c r="D2686" s="559"/>
      <c r="E2686" s="559"/>
      <c r="F2686" s="559"/>
      <c r="G2686" s="558"/>
      <c r="H2686" s="559"/>
      <c r="I2686" s="559"/>
      <c r="J2686" s="559"/>
      <c r="K2686" s="560"/>
      <c r="L2686" s="560"/>
      <c r="M2686" s="560"/>
    </row>
    <row r="2687" spans="3:13" s="338" customFormat="1">
      <c r="C2687" s="558"/>
      <c r="D2687" s="559"/>
      <c r="E2687" s="559"/>
      <c r="F2687" s="559"/>
      <c r="G2687" s="558"/>
      <c r="H2687" s="559"/>
      <c r="I2687" s="559"/>
      <c r="J2687" s="559"/>
      <c r="K2687" s="560"/>
      <c r="L2687" s="560"/>
      <c r="M2687" s="560"/>
    </row>
    <row r="2688" spans="3:13" s="338" customFormat="1">
      <c r="C2688" s="558"/>
      <c r="D2688" s="559"/>
      <c r="E2688" s="559"/>
      <c r="F2688" s="559"/>
      <c r="G2688" s="558"/>
      <c r="H2688" s="559"/>
      <c r="I2688" s="559"/>
      <c r="J2688" s="559"/>
      <c r="K2688" s="560"/>
      <c r="L2688" s="560"/>
      <c r="M2688" s="560"/>
    </row>
    <row r="2689" spans="3:13" s="338" customFormat="1">
      <c r="C2689" s="558"/>
      <c r="D2689" s="559"/>
      <c r="E2689" s="559"/>
      <c r="F2689" s="559"/>
      <c r="G2689" s="558"/>
      <c r="H2689" s="559"/>
      <c r="I2689" s="559"/>
      <c r="J2689" s="559"/>
      <c r="K2689" s="560"/>
      <c r="L2689" s="560"/>
      <c r="M2689" s="560"/>
    </row>
    <row r="2690" spans="3:13" s="338" customFormat="1">
      <c r="C2690" s="558"/>
      <c r="D2690" s="559"/>
      <c r="E2690" s="559"/>
      <c r="F2690" s="559"/>
      <c r="G2690" s="558"/>
      <c r="H2690" s="559"/>
      <c r="I2690" s="559"/>
      <c r="J2690" s="559"/>
      <c r="K2690" s="560"/>
      <c r="L2690" s="560"/>
      <c r="M2690" s="560"/>
    </row>
    <row r="2691" spans="3:13" s="338" customFormat="1">
      <c r="C2691" s="558"/>
      <c r="D2691" s="559"/>
      <c r="E2691" s="559"/>
      <c r="F2691" s="559"/>
      <c r="G2691" s="558"/>
      <c r="H2691" s="559"/>
      <c r="I2691" s="559"/>
      <c r="J2691" s="559"/>
      <c r="K2691" s="560"/>
      <c r="L2691" s="560"/>
      <c r="M2691" s="560"/>
    </row>
    <row r="2692" spans="3:13" s="338" customFormat="1">
      <c r="C2692" s="558"/>
      <c r="D2692" s="559"/>
      <c r="E2692" s="559"/>
      <c r="F2692" s="559"/>
      <c r="G2692" s="558"/>
      <c r="H2692" s="559"/>
      <c r="I2692" s="559"/>
      <c r="J2692" s="559"/>
      <c r="K2692" s="560"/>
      <c r="L2692" s="560"/>
      <c r="M2692" s="560"/>
    </row>
    <row r="2693" spans="3:13" s="338" customFormat="1">
      <c r="C2693" s="558"/>
      <c r="D2693" s="559"/>
      <c r="E2693" s="559"/>
      <c r="F2693" s="559"/>
      <c r="G2693" s="558"/>
      <c r="H2693" s="559"/>
      <c r="I2693" s="559"/>
      <c r="J2693" s="559"/>
      <c r="K2693" s="560"/>
      <c r="L2693" s="560"/>
      <c r="M2693" s="560"/>
    </row>
    <row r="2694" spans="3:13" s="338" customFormat="1">
      <c r="C2694" s="558"/>
      <c r="D2694" s="559"/>
      <c r="E2694" s="559"/>
      <c r="F2694" s="559"/>
      <c r="G2694" s="558"/>
      <c r="H2694" s="559"/>
      <c r="I2694" s="559"/>
      <c r="J2694" s="559"/>
      <c r="K2694" s="560"/>
      <c r="L2694" s="560"/>
      <c r="M2694" s="560"/>
    </row>
    <row r="2695" spans="3:13" s="338" customFormat="1">
      <c r="C2695" s="558"/>
      <c r="D2695" s="559"/>
      <c r="E2695" s="559"/>
      <c r="F2695" s="559"/>
      <c r="G2695" s="558"/>
      <c r="H2695" s="559"/>
      <c r="I2695" s="559"/>
      <c r="J2695" s="559"/>
      <c r="K2695" s="560"/>
      <c r="L2695" s="560"/>
      <c r="M2695" s="560"/>
    </row>
    <row r="2696" spans="3:13" s="338" customFormat="1">
      <c r="C2696" s="558"/>
      <c r="D2696" s="559"/>
      <c r="E2696" s="559"/>
      <c r="F2696" s="559"/>
      <c r="G2696" s="558"/>
      <c r="H2696" s="559"/>
      <c r="I2696" s="559"/>
      <c r="J2696" s="559"/>
      <c r="K2696" s="560"/>
      <c r="L2696" s="560"/>
      <c r="M2696" s="560"/>
    </row>
    <row r="2697" spans="3:13" s="338" customFormat="1">
      <c r="C2697" s="558"/>
      <c r="D2697" s="559"/>
      <c r="E2697" s="559"/>
      <c r="F2697" s="559"/>
      <c r="G2697" s="558"/>
      <c r="H2697" s="559"/>
      <c r="I2697" s="559"/>
      <c r="J2697" s="559"/>
      <c r="K2697" s="560"/>
      <c r="L2697" s="560"/>
      <c r="M2697" s="560"/>
    </row>
    <row r="2698" spans="3:13" s="338" customFormat="1">
      <c r="C2698" s="558"/>
      <c r="D2698" s="559"/>
      <c r="E2698" s="559"/>
      <c r="F2698" s="559"/>
      <c r="G2698" s="558"/>
      <c r="H2698" s="559"/>
      <c r="I2698" s="559"/>
      <c r="J2698" s="559"/>
      <c r="K2698" s="560"/>
      <c r="L2698" s="560"/>
      <c r="M2698" s="560"/>
    </row>
    <row r="2699" spans="3:13" s="338" customFormat="1">
      <c r="C2699" s="558"/>
      <c r="D2699" s="559"/>
      <c r="E2699" s="559"/>
      <c r="F2699" s="559"/>
      <c r="G2699" s="558"/>
      <c r="H2699" s="559"/>
      <c r="I2699" s="559"/>
      <c r="J2699" s="559"/>
      <c r="K2699" s="560"/>
      <c r="L2699" s="560"/>
      <c r="M2699" s="560"/>
    </row>
    <row r="2700" spans="3:13" s="338" customFormat="1">
      <c r="C2700" s="558"/>
      <c r="D2700" s="559"/>
      <c r="E2700" s="559"/>
      <c r="F2700" s="559"/>
      <c r="G2700" s="558"/>
      <c r="H2700" s="559"/>
      <c r="I2700" s="559"/>
      <c r="J2700" s="559"/>
      <c r="K2700" s="560"/>
      <c r="L2700" s="560"/>
      <c r="M2700" s="560"/>
    </row>
    <row r="2701" spans="3:13" s="338" customFormat="1">
      <c r="C2701" s="558"/>
      <c r="D2701" s="559"/>
      <c r="E2701" s="559"/>
      <c r="F2701" s="559"/>
      <c r="G2701" s="558"/>
      <c r="H2701" s="559"/>
      <c r="I2701" s="559"/>
      <c r="J2701" s="559"/>
      <c r="K2701" s="560"/>
      <c r="L2701" s="560"/>
      <c r="M2701" s="560"/>
    </row>
    <row r="2702" spans="3:13" s="338" customFormat="1">
      <c r="C2702" s="558"/>
      <c r="D2702" s="559"/>
      <c r="E2702" s="559"/>
      <c r="F2702" s="559"/>
      <c r="G2702" s="558"/>
      <c r="H2702" s="559"/>
      <c r="I2702" s="559"/>
      <c r="J2702" s="559"/>
      <c r="K2702" s="560"/>
      <c r="L2702" s="560"/>
      <c r="M2702" s="560"/>
    </row>
    <row r="2703" spans="3:13" s="338" customFormat="1">
      <c r="C2703" s="558"/>
      <c r="D2703" s="559"/>
      <c r="E2703" s="559"/>
      <c r="F2703" s="559"/>
      <c r="G2703" s="558"/>
      <c r="H2703" s="559"/>
      <c r="I2703" s="559"/>
      <c r="J2703" s="559"/>
      <c r="K2703" s="560"/>
      <c r="L2703" s="560"/>
      <c r="M2703" s="560"/>
    </row>
    <row r="2704" spans="3:13" s="338" customFormat="1">
      <c r="C2704" s="558"/>
      <c r="D2704" s="559"/>
      <c r="E2704" s="559"/>
      <c r="F2704" s="559"/>
      <c r="G2704" s="558"/>
      <c r="H2704" s="559"/>
      <c r="I2704" s="559"/>
      <c r="J2704" s="559"/>
      <c r="K2704" s="560"/>
      <c r="L2704" s="560"/>
      <c r="M2704" s="560"/>
    </row>
    <row r="2705" spans="3:13" s="338" customFormat="1">
      <c r="C2705" s="558"/>
      <c r="D2705" s="559"/>
      <c r="E2705" s="559"/>
      <c r="F2705" s="559"/>
      <c r="G2705" s="558"/>
      <c r="H2705" s="559"/>
      <c r="I2705" s="559"/>
      <c r="J2705" s="559"/>
      <c r="K2705" s="560"/>
      <c r="L2705" s="560"/>
      <c r="M2705" s="560"/>
    </row>
    <row r="2706" spans="3:13" s="338" customFormat="1">
      <c r="C2706" s="558"/>
      <c r="D2706" s="559"/>
      <c r="E2706" s="559"/>
      <c r="F2706" s="559"/>
      <c r="G2706" s="558"/>
      <c r="H2706" s="559"/>
      <c r="I2706" s="559"/>
      <c r="J2706" s="559"/>
      <c r="K2706" s="560"/>
      <c r="L2706" s="560"/>
      <c r="M2706" s="560"/>
    </row>
    <row r="2707" spans="3:13" s="338" customFormat="1">
      <c r="C2707" s="558"/>
      <c r="D2707" s="559"/>
      <c r="E2707" s="559"/>
      <c r="F2707" s="559"/>
      <c r="G2707" s="558"/>
      <c r="H2707" s="559"/>
      <c r="I2707" s="559"/>
      <c r="J2707" s="559"/>
      <c r="K2707" s="560"/>
      <c r="L2707" s="560"/>
      <c r="M2707" s="560"/>
    </row>
    <row r="2708" spans="3:13" s="338" customFormat="1">
      <c r="C2708" s="558"/>
      <c r="D2708" s="559"/>
      <c r="E2708" s="559"/>
      <c r="F2708" s="559"/>
      <c r="G2708" s="558"/>
      <c r="H2708" s="559"/>
      <c r="I2708" s="559"/>
      <c r="J2708" s="559"/>
      <c r="K2708" s="560"/>
      <c r="L2708" s="560"/>
      <c r="M2708" s="560"/>
    </row>
    <row r="2709" spans="3:13" s="338" customFormat="1">
      <c r="C2709" s="558"/>
      <c r="D2709" s="559"/>
      <c r="E2709" s="559"/>
      <c r="F2709" s="559"/>
      <c r="G2709" s="558"/>
      <c r="H2709" s="559"/>
      <c r="I2709" s="559"/>
      <c r="J2709" s="559"/>
      <c r="K2709" s="560"/>
      <c r="L2709" s="560"/>
      <c r="M2709" s="560"/>
    </row>
    <row r="2710" spans="3:13" s="338" customFormat="1">
      <c r="C2710" s="558"/>
      <c r="D2710" s="559"/>
      <c r="E2710" s="559"/>
      <c r="F2710" s="559"/>
      <c r="G2710" s="558"/>
      <c r="H2710" s="559"/>
      <c r="I2710" s="559"/>
      <c r="J2710" s="559"/>
      <c r="K2710" s="560"/>
      <c r="L2710" s="560"/>
      <c r="M2710" s="560"/>
    </row>
    <row r="2711" spans="3:13" s="338" customFormat="1">
      <c r="C2711" s="558"/>
      <c r="D2711" s="559"/>
      <c r="E2711" s="559"/>
      <c r="F2711" s="559"/>
      <c r="G2711" s="558"/>
      <c r="H2711" s="559"/>
      <c r="I2711" s="559"/>
      <c r="J2711" s="559"/>
      <c r="K2711" s="560"/>
      <c r="L2711" s="560"/>
      <c r="M2711" s="560"/>
    </row>
    <row r="2712" spans="3:13" s="338" customFormat="1">
      <c r="C2712" s="558"/>
      <c r="D2712" s="559"/>
      <c r="E2712" s="559"/>
      <c r="F2712" s="559"/>
      <c r="G2712" s="558"/>
      <c r="H2712" s="559"/>
      <c r="I2712" s="559"/>
      <c r="J2712" s="559"/>
      <c r="K2712" s="560"/>
      <c r="L2712" s="560"/>
      <c r="M2712" s="560"/>
    </row>
    <row r="2713" spans="3:13" s="338" customFormat="1">
      <c r="C2713" s="558"/>
      <c r="D2713" s="559"/>
      <c r="E2713" s="559"/>
      <c r="F2713" s="559"/>
      <c r="G2713" s="558"/>
      <c r="H2713" s="559"/>
      <c r="I2713" s="559"/>
      <c r="J2713" s="559"/>
      <c r="K2713" s="560"/>
      <c r="L2713" s="560"/>
      <c r="M2713" s="560"/>
    </row>
    <row r="2714" spans="3:13" s="338" customFormat="1">
      <c r="C2714" s="558"/>
      <c r="D2714" s="559"/>
      <c r="E2714" s="559"/>
      <c r="F2714" s="559"/>
      <c r="G2714" s="558"/>
      <c r="H2714" s="559"/>
      <c r="I2714" s="559"/>
      <c r="J2714" s="559"/>
      <c r="K2714" s="560"/>
      <c r="L2714" s="560"/>
      <c r="M2714" s="560"/>
    </row>
    <row r="2715" spans="3:13" s="338" customFormat="1">
      <c r="C2715" s="558"/>
      <c r="D2715" s="559"/>
      <c r="E2715" s="559"/>
      <c r="F2715" s="559"/>
      <c r="G2715" s="558"/>
      <c r="H2715" s="559"/>
      <c r="I2715" s="559"/>
      <c r="J2715" s="559"/>
      <c r="K2715" s="560"/>
      <c r="L2715" s="560"/>
      <c r="M2715" s="560"/>
    </row>
    <row r="2716" spans="3:13" s="338" customFormat="1">
      <c r="C2716" s="558"/>
      <c r="D2716" s="559"/>
      <c r="E2716" s="559"/>
      <c r="F2716" s="559"/>
      <c r="G2716" s="558"/>
      <c r="H2716" s="559"/>
      <c r="I2716" s="559"/>
      <c r="J2716" s="559"/>
      <c r="K2716" s="560"/>
      <c r="L2716" s="560"/>
      <c r="M2716" s="560"/>
    </row>
    <row r="2717" spans="3:13" s="338" customFormat="1">
      <c r="C2717" s="558"/>
      <c r="D2717" s="559"/>
      <c r="E2717" s="559"/>
      <c r="F2717" s="559"/>
      <c r="G2717" s="558"/>
      <c r="H2717" s="559"/>
      <c r="I2717" s="559"/>
      <c r="J2717" s="559"/>
      <c r="K2717" s="560"/>
      <c r="L2717" s="560"/>
      <c r="M2717" s="560"/>
    </row>
    <row r="2718" spans="3:13" s="338" customFormat="1">
      <c r="C2718" s="558"/>
      <c r="D2718" s="559"/>
      <c r="E2718" s="559"/>
      <c r="F2718" s="559"/>
      <c r="G2718" s="558"/>
      <c r="H2718" s="559"/>
      <c r="I2718" s="559"/>
      <c r="J2718" s="559"/>
      <c r="K2718" s="560"/>
      <c r="L2718" s="560"/>
      <c r="M2718" s="560"/>
    </row>
    <row r="2719" spans="3:13" s="338" customFormat="1">
      <c r="C2719" s="558"/>
      <c r="D2719" s="559"/>
      <c r="E2719" s="559"/>
      <c r="F2719" s="559"/>
      <c r="G2719" s="558"/>
      <c r="H2719" s="559"/>
      <c r="I2719" s="559"/>
      <c r="J2719" s="559"/>
      <c r="K2719" s="560"/>
      <c r="L2719" s="560"/>
      <c r="M2719" s="560"/>
    </row>
    <row r="2720" spans="3:13" s="338" customFormat="1">
      <c r="C2720" s="558"/>
      <c r="D2720" s="559"/>
      <c r="E2720" s="559"/>
      <c r="F2720" s="559"/>
      <c r="G2720" s="558"/>
      <c r="H2720" s="559"/>
      <c r="I2720" s="559"/>
      <c r="J2720" s="559"/>
      <c r="K2720" s="560"/>
      <c r="L2720" s="560"/>
      <c r="M2720" s="560"/>
    </row>
    <row r="2721" spans="3:13" s="338" customFormat="1">
      <c r="C2721" s="558"/>
      <c r="D2721" s="559"/>
      <c r="E2721" s="559"/>
      <c r="F2721" s="559"/>
      <c r="G2721" s="558"/>
      <c r="H2721" s="559"/>
      <c r="I2721" s="559"/>
      <c r="J2721" s="559"/>
      <c r="K2721" s="560"/>
      <c r="L2721" s="560"/>
      <c r="M2721" s="560"/>
    </row>
    <row r="2722" spans="3:13" s="338" customFormat="1">
      <c r="C2722" s="558"/>
      <c r="D2722" s="559"/>
      <c r="E2722" s="559"/>
      <c r="F2722" s="559"/>
      <c r="G2722" s="558"/>
      <c r="H2722" s="559"/>
      <c r="I2722" s="559"/>
      <c r="J2722" s="559"/>
      <c r="K2722" s="560"/>
      <c r="L2722" s="560"/>
      <c r="M2722" s="560"/>
    </row>
    <row r="2723" spans="3:13" s="338" customFormat="1">
      <c r="C2723" s="558"/>
      <c r="D2723" s="559"/>
      <c r="E2723" s="559"/>
      <c r="F2723" s="559"/>
      <c r="G2723" s="558"/>
      <c r="H2723" s="559"/>
      <c r="I2723" s="559"/>
      <c r="J2723" s="559"/>
      <c r="K2723" s="560"/>
      <c r="L2723" s="560"/>
      <c r="M2723" s="560"/>
    </row>
    <row r="2724" spans="3:13" s="338" customFormat="1">
      <c r="C2724" s="558"/>
      <c r="D2724" s="559"/>
      <c r="E2724" s="559"/>
      <c r="F2724" s="559"/>
      <c r="G2724" s="558"/>
      <c r="H2724" s="559"/>
      <c r="I2724" s="559"/>
      <c r="J2724" s="559"/>
      <c r="K2724" s="560"/>
      <c r="L2724" s="560"/>
      <c r="M2724" s="560"/>
    </row>
    <row r="2725" spans="3:13" s="338" customFormat="1">
      <c r="C2725" s="558"/>
      <c r="D2725" s="559"/>
      <c r="E2725" s="559"/>
      <c r="F2725" s="559"/>
      <c r="G2725" s="558"/>
      <c r="H2725" s="559"/>
      <c r="I2725" s="559"/>
      <c r="J2725" s="559"/>
      <c r="K2725" s="560"/>
      <c r="L2725" s="560"/>
      <c r="M2725" s="560"/>
    </row>
    <row r="2726" spans="3:13" s="338" customFormat="1">
      <c r="C2726" s="558"/>
      <c r="D2726" s="559"/>
      <c r="E2726" s="559"/>
      <c r="F2726" s="559"/>
      <c r="G2726" s="558"/>
      <c r="H2726" s="559"/>
      <c r="I2726" s="559"/>
      <c r="J2726" s="559"/>
      <c r="K2726" s="560"/>
      <c r="L2726" s="560"/>
      <c r="M2726" s="560"/>
    </row>
    <row r="2727" spans="3:13" s="338" customFormat="1">
      <c r="C2727" s="558"/>
      <c r="D2727" s="559"/>
      <c r="E2727" s="559"/>
      <c r="F2727" s="559"/>
      <c r="G2727" s="558"/>
      <c r="H2727" s="559"/>
      <c r="I2727" s="559"/>
      <c r="J2727" s="559"/>
      <c r="K2727" s="560"/>
      <c r="L2727" s="560"/>
      <c r="M2727" s="560"/>
    </row>
    <row r="2728" spans="3:13" s="338" customFormat="1">
      <c r="C2728" s="558"/>
      <c r="D2728" s="559"/>
      <c r="E2728" s="559"/>
      <c r="F2728" s="559"/>
      <c r="G2728" s="558"/>
      <c r="H2728" s="559"/>
      <c r="I2728" s="559"/>
      <c r="J2728" s="559"/>
      <c r="K2728" s="560"/>
      <c r="L2728" s="560"/>
      <c r="M2728" s="560"/>
    </row>
    <row r="2729" spans="3:13" s="338" customFormat="1">
      <c r="C2729" s="558"/>
      <c r="D2729" s="559"/>
      <c r="E2729" s="559"/>
      <c r="F2729" s="559"/>
      <c r="G2729" s="558"/>
      <c r="H2729" s="559"/>
      <c r="I2729" s="559"/>
      <c r="J2729" s="559"/>
      <c r="K2729" s="560"/>
      <c r="L2729" s="560"/>
      <c r="M2729" s="560"/>
    </row>
    <row r="2730" spans="3:13" s="338" customFormat="1">
      <c r="C2730" s="558"/>
      <c r="D2730" s="559"/>
      <c r="E2730" s="559"/>
      <c r="F2730" s="559"/>
      <c r="G2730" s="558"/>
      <c r="H2730" s="559"/>
      <c r="I2730" s="559"/>
      <c r="J2730" s="559"/>
      <c r="K2730" s="560"/>
      <c r="L2730" s="560"/>
      <c r="M2730" s="560"/>
    </row>
    <row r="2731" spans="3:13" s="338" customFormat="1">
      <c r="C2731" s="558"/>
      <c r="D2731" s="559"/>
      <c r="E2731" s="559"/>
      <c r="F2731" s="559"/>
      <c r="G2731" s="558"/>
      <c r="H2731" s="559"/>
      <c r="I2731" s="559"/>
      <c r="J2731" s="559"/>
      <c r="K2731" s="560"/>
      <c r="L2731" s="560"/>
      <c r="M2731" s="560"/>
    </row>
    <row r="2732" spans="3:13" s="338" customFormat="1">
      <c r="C2732" s="558"/>
      <c r="D2732" s="559"/>
      <c r="E2732" s="559"/>
      <c r="F2732" s="559"/>
      <c r="G2732" s="558"/>
      <c r="H2732" s="559"/>
      <c r="I2732" s="559"/>
      <c r="J2732" s="559"/>
      <c r="K2732" s="560"/>
      <c r="L2732" s="560"/>
      <c r="M2732" s="560"/>
    </row>
    <row r="2733" spans="3:13" s="338" customFormat="1">
      <c r="C2733" s="558"/>
      <c r="D2733" s="559"/>
      <c r="E2733" s="559"/>
      <c r="F2733" s="559"/>
      <c r="G2733" s="558"/>
      <c r="H2733" s="559"/>
      <c r="I2733" s="559"/>
      <c r="J2733" s="559"/>
      <c r="K2733" s="560"/>
      <c r="L2733" s="560"/>
      <c r="M2733" s="560"/>
    </row>
    <row r="2734" spans="3:13" s="338" customFormat="1">
      <c r="C2734" s="558"/>
      <c r="D2734" s="559"/>
      <c r="E2734" s="559"/>
      <c r="F2734" s="559"/>
      <c r="G2734" s="558"/>
      <c r="H2734" s="559"/>
      <c r="I2734" s="559"/>
      <c r="J2734" s="559"/>
      <c r="K2734" s="560"/>
      <c r="L2734" s="560"/>
      <c r="M2734" s="560"/>
    </row>
    <row r="2735" spans="3:13" s="338" customFormat="1">
      <c r="C2735" s="558"/>
      <c r="D2735" s="559"/>
      <c r="E2735" s="559"/>
      <c r="F2735" s="559"/>
      <c r="G2735" s="558"/>
      <c r="H2735" s="559"/>
      <c r="I2735" s="559"/>
      <c r="J2735" s="559"/>
      <c r="K2735" s="560"/>
      <c r="L2735" s="560"/>
      <c r="M2735" s="560"/>
    </row>
    <row r="2736" spans="3:13" s="338" customFormat="1">
      <c r="C2736" s="558"/>
      <c r="D2736" s="559"/>
      <c r="E2736" s="559"/>
      <c r="F2736" s="559"/>
      <c r="G2736" s="558"/>
      <c r="H2736" s="559"/>
      <c r="I2736" s="559"/>
      <c r="J2736" s="559"/>
      <c r="K2736" s="560"/>
      <c r="L2736" s="560"/>
      <c r="M2736" s="560"/>
    </row>
    <row r="2737" spans="3:13" s="338" customFormat="1">
      <c r="C2737" s="558"/>
      <c r="D2737" s="559"/>
      <c r="E2737" s="559"/>
      <c r="F2737" s="559"/>
      <c r="G2737" s="558"/>
      <c r="H2737" s="559"/>
      <c r="I2737" s="559"/>
      <c r="J2737" s="559"/>
      <c r="K2737" s="560"/>
      <c r="L2737" s="560"/>
      <c r="M2737" s="560"/>
    </row>
    <row r="2738" spans="3:13" s="338" customFormat="1">
      <c r="C2738" s="558"/>
      <c r="D2738" s="559"/>
      <c r="E2738" s="559"/>
      <c r="F2738" s="559"/>
      <c r="G2738" s="558"/>
      <c r="H2738" s="559"/>
      <c r="I2738" s="559"/>
      <c r="J2738" s="559"/>
      <c r="K2738" s="560"/>
      <c r="L2738" s="560"/>
      <c r="M2738" s="560"/>
    </row>
    <row r="2739" spans="3:13" s="338" customFormat="1">
      <c r="C2739" s="558"/>
      <c r="D2739" s="559"/>
      <c r="E2739" s="559"/>
      <c r="F2739" s="559"/>
      <c r="G2739" s="558"/>
      <c r="H2739" s="559"/>
      <c r="I2739" s="559"/>
      <c r="J2739" s="559"/>
      <c r="K2739" s="560"/>
      <c r="L2739" s="560"/>
      <c r="M2739" s="560"/>
    </row>
    <row r="2740" spans="3:13" s="338" customFormat="1">
      <c r="C2740" s="558"/>
      <c r="D2740" s="559"/>
      <c r="E2740" s="559"/>
      <c r="F2740" s="559"/>
      <c r="G2740" s="558"/>
      <c r="H2740" s="559"/>
      <c r="I2740" s="559"/>
      <c r="J2740" s="559"/>
      <c r="K2740" s="560"/>
      <c r="L2740" s="560"/>
      <c r="M2740" s="560"/>
    </row>
    <row r="2741" spans="3:13" s="338" customFormat="1">
      <c r="C2741" s="558"/>
      <c r="D2741" s="559"/>
      <c r="E2741" s="559"/>
      <c r="F2741" s="559"/>
      <c r="G2741" s="558"/>
      <c r="H2741" s="559"/>
      <c r="I2741" s="559"/>
      <c r="J2741" s="559"/>
      <c r="K2741" s="560"/>
      <c r="L2741" s="560"/>
      <c r="M2741" s="560"/>
    </row>
    <row r="2742" spans="3:13" s="338" customFormat="1">
      <c r="C2742" s="558"/>
      <c r="D2742" s="559"/>
      <c r="E2742" s="559"/>
      <c r="F2742" s="559"/>
      <c r="G2742" s="558"/>
      <c r="H2742" s="559"/>
      <c r="I2742" s="559"/>
      <c r="J2742" s="559"/>
      <c r="K2742" s="560"/>
      <c r="L2742" s="560"/>
      <c r="M2742" s="560"/>
    </row>
    <row r="2743" spans="3:13" s="338" customFormat="1">
      <c r="C2743" s="558"/>
      <c r="D2743" s="559"/>
      <c r="E2743" s="559"/>
      <c r="F2743" s="559"/>
      <c r="G2743" s="558"/>
      <c r="H2743" s="559"/>
      <c r="I2743" s="559"/>
      <c r="J2743" s="559"/>
      <c r="K2743" s="560"/>
      <c r="L2743" s="560"/>
      <c r="M2743" s="560"/>
    </row>
    <row r="2744" spans="3:13" s="338" customFormat="1">
      <c r="C2744" s="558"/>
      <c r="D2744" s="559"/>
      <c r="E2744" s="559"/>
      <c r="F2744" s="559"/>
      <c r="G2744" s="558"/>
      <c r="H2744" s="559"/>
      <c r="I2744" s="559"/>
      <c r="J2744" s="559"/>
      <c r="K2744" s="560"/>
      <c r="L2744" s="560"/>
      <c r="M2744" s="560"/>
    </row>
    <row r="2745" spans="3:13" s="338" customFormat="1">
      <c r="C2745" s="558"/>
      <c r="D2745" s="559"/>
      <c r="E2745" s="559"/>
      <c r="F2745" s="559"/>
      <c r="G2745" s="558"/>
      <c r="H2745" s="559"/>
      <c r="I2745" s="559"/>
      <c r="J2745" s="559"/>
      <c r="K2745" s="560"/>
      <c r="L2745" s="560"/>
      <c r="M2745" s="560"/>
    </row>
    <row r="2746" spans="3:13" s="338" customFormat="1">
      <c r="C2746" s="558"/>
      <c r="D2746" s="559"/>
      <c r="E2746" s="559"/>
      <c r="F2746" s="559"/>
      <c r="G2746" s="558"/>
      <c r="H2746" s="559"/>
      <c r="I2746" s="559"/>
      <c r="J2746" s="559"/>
      <c r="K2746" s="560"/>
      <c r="L2746" s="560"/>
      <c r="M2746" s="560"/>
    </row>
    <row r="2747" spans="3:13" s="338" customFormat="1">
      <c r="C2747" s="558"/>
      <c r="D2747" s="559"/>
      <c r="E2747" s="559"/>
      <c r="F2747" s="559"/>
      <c r="G2747" s="558"/>
      <c r="H2747" s="559"/>
      <c r="I2747" s="559"/>
      <c r="J2747" s="559"/>
      <c r="K2747" s="560"/>
      <c r="L2747" s="560"/>
      <c r="M2747" s="560"/>
    </row>
    <row r="2748" spans="3:13" s="338" customFormat="1">
      <c r="C2748" s="558"/>
      <c r="D2748" s="559"/>
      <c r="E2748" s="559"/>
      <c r="F2748" s="559"/>
      <c r="G2748" s="558"/>
      <c r="H2748" s="559"/>
      <c r="I2748" s="559"/>
      <c r="J2748" s="559"/>
      <c r="K2748" s="560"/>
      <c r="L2748" s="560"/>
      <c r="M2748" s="560"/>
    </row>
    <row r="2749" spans="3:13" s="338" customFormat="1">
      <c r="C2749" s="558"/>
      <c r="D2749" s="559"/>
      <c r="E2749" s="559"/>
      <c r="F2749" s="559"/>
      <c r="G2749" s="558"/>
      <c r="H2749" s="559"/>
      <c r="I2749" s="559"/>
      <c r="J2749" s="559"/>
      <c r="K2749" s="560"/>
      <c r="L2749" s="560"/>
      <c r="M2749" s="560"/>
    </row>
    <row r="2750" spans="3:13" s="338" customFormat="1">
      <c r="C2750" s="558"/>
      <c r="D2750" s="559"/>
      <c r="E2750" s="559"/>
      <c r="F2750" s="559"/>
      <c r="G2750" s="558"/>
      <c r="H2750" s="559"/>
      <c r="I2750" s="559"/>
      <c r="J2750" s="559"/>
      <c r="K2750" s="560"/>
      <c r="L2750" s="560"/>
      <c r="M2750" s="560"/>
    </row>
    <row r="2751" spans="3:13" s="338" customFormat="1">
      <c r="C2751" s="558"/>
      <c r="D2751" s="559"/>
      <c r="E2751" s="559"/>
      <c r="F2751" s="559"/>
      <c r="G2751" s="558"/>
      <c r="H2751" s="559"/>
      <c r="I2751" s="559"/>
      <c r="J2751" s="559"/>
      <c r="K2751" s="560"/>
      <c r="L2751" s="560"/>
      <c r="M2751" s="560"/>
    </row>
    <row r="2752" spans="3:13" s="338" customFormat="1">
      <c r="C2752" s="558"/>
      <c r="D2752" s="559"/>
      <c r="E2752" s="559"/>
      <c r="F2752" s="559"/>
      <c r="G2752" s="558"/>
      <c r="H2752" s="559"/>
      <c r="I2752" s="559"/>
      <c r="J2752" s="559"/>
      <c r="K2752" s="560"/>
      <c r="L2752" s="560"/>
      <c r="M2752" s="560"/>
    </row>
    <row r="2753" spans="3:13" s="338" customFormat="1">
      <c r="C2753" s="558"/>
      <c r="D2753" s="559"/>
      <c r="E2753" s="559"/>
      <c r="F2753" s="559"/>
      <c r="G2753" s="558"/>
      <c r="H2753" s="559"/>
      <c r="I2753" s="559"/>
      <c r="J2753" s="559"/>
      <c r="K2753" s="560"/>
      <c r="L2753" s="560"/>
      <c r="M2753" s="560"/>
    </row>
    <row r="2754" spans="3:13" s="338" customFormat="1">
      <c r="C2754" s="558"/>
      <c r="D2754" s="559"/>
      <c r="E2754" s="559"/>
      <c r="F2754" s="559"/>
      <c r="G2754" s="558"/>
      <c r="H2754" s="559"/>
      <c r="I2754" s="559"/>
      <c r="J2754" s="559"/>
      <c r="K2754" s="560"/>
      <c r="L2754" s="560"/>
      <c r="M2754" s="560"/>
    </row>
    <row r="2755" spans="3:13" s="338" customFormat="1">
      <c r="C2755" s="558"/>
      <c r="D2755" s="559"/>
      <c r="E2755" s="559"/>
      <c r="F2755" s="559"/>
      <c r="G2755" s="558"/>
      <c r="H2755" s="559"/>
      <c r="I2755" s="559"/>
      <c r="J2755" s="559"/>
      <c r="K2755" s="560"/>
      <c r="L2755" s="560"/>
      <c r="M2755" s="560"/>
    </row>
    <row r="2756" spans="3:13" s="338" customFormat="1">
      <c r="C2756" s="558"/>
      <c r="D2756" s="559"/>
      <c r="E2756" s="559"/>
      <c r="F2756" s="559"/>
      <c r="G2756" s="558"/>
      <c r="H2756" s="559"/>
      <c r="I2756" s="559"/>
      <c r="J2756" s="559"/>
      <c r="K2756" s="560"/>
      <c r="L2756" s="560"/>
      <c r="M2756" s="560"/>
    </row>
    <row r="2757" spans="3:13" s="338" customFormat="1">
      <c r="C2757" s="558"/>
      <c r="D2757" s="559"/>
      <c r="E2757" s="559"/>
      <c r="F2757" s="559"/>
      <c r="G2757" s="558"/>
      <c r="H2757" s="559"/>
      <c r="I2757" s="559"/>
      <c r="J2757" s="559"/>
      <c r="K2757" s="560"/>
      <c r="L2757" s="560"/>
      <c r="M2757" s="560"/>
    </row>
    <row r="2758" spans="3:13" s="338" customFormat="1">
      <c r="C2758" s="558"/>
      <c r="D2758" s="559"/>
      <c r="E2758" s="559"/>
      <c r="F2758" s="559"/>
      <c r="G2758" s="558"/>
      <c r="H2758" s="559"/>
      <c r="I2758" s="559"/>
      <c r="J2758" s="559"/>
      <c r="K2758" s="560"/>
      <c r="L2758" s="560"/>
      <c r="M2758" s="560"/>
    </row>
    <row r="2759" spans="3:13" s="338" customFormat="1">
      <c r="C2759" s="558"/>
      <c r="D2759" s="559"/>
      <c r="E2759" s="559"/>
      <c r="F2759" s="559"/>
      <c r="G2759" s="558"/>
      <c r="H2759" s="559"/>
      <c r="I2759" s="559"/>
      <c r="J2759" s="559"/>
      <c r="K2759" s="560"/>
      <c r="L2759" s="560"/>
      <c r="M2759" s="560"/>
    </row>
    <row r="2760" spans="3:13" s="338" customFormat="1">
      <c r="C2760" s="558"/>
      <c r="D2760" s="559"/>
      <c r="E2760" s="559"/>
      <c r="F2760" s="559"/>
      <c r="G2760" s="558"/>
      <c r="H2760" s="559"/>
      <c r="I2760" s="559"/>
      <c r="J2760" s="559"/>
      <c r="K2760" s="560"/>
      <c r="L2760" s="560"/>
      <c r="M2760" s="560"/>
    </row>
    <row r="2761" spans="3:13" s="338" customFormat="1">
      <c r="C2761" s="558"/>
      <c r="D2761" s="559"/>
      <c r="E2761" s="559"/>
      <c r="F2761" s="559"/>
      <c r="G2761" s="558"/>
      <c r="H2761" s="559"/>
      <c r="I2761" s="559"/>
      <c r="J2761" s="559"/>
      <c r="K2761" s="560"/>
      <c r="L2761" s="560"/>
      <c r="M2761" s="560"/>
    </row>
    <row r="2762" spans="3:13" s="338" customFormat="1">
      <c r="C2762" s="558"/>
      <c r="D2762" s="559"/>
      <c r="E2762" s="559"/>
      <c r="F2762" s="559"/>
      <c r="G2762" s="558"/>
      <c r="H2762" s="559"/>
      <c r="I2762" s="559"/>
      <c r="J2762" s="559"/>
      <c r="K2762" s="560"/>
      <c r="L2762" s="560"/>
      <c r="M2762" s="560"/>
    </row>
    <row r="2763" spans="3:13" s="338" customFormat="1">
      <c r="C2763" s="558"/>
      <c r="D2763" s="559"/>
      <c r="E2763" s="559"/>
      <c r="F2763" s="559"/>
      <c r="G2763" s="558"/>
      <c r="H2763" s="559"/>
      <c r="I2763" s="559"/>
      <c r="J2763" s="559"/>
      <c r="K2763" s="560"/>
      <c r="L2763" s="560"/>
      <c r="M2763" s="560"/>
    </row>
    <row r="2764" spans="3:13" s="338" customFormat="1">
      <c r="C2764" s="558"/>
      <c r="D2764" s="559"/>
      <c r="E2764" s="559"/>
      <c r="F2764" s="559"/>
      <c r="G2764" s="558"/>
      <c r="H2764" s="559"/>
      <c r="I2764" s="559"/>
      <c r="J2764" s="559"/>
      <c r="K2764" s="560"/>
      <c r="L2764" s="560"/>
      <c r="M2764" s="560"/>
    </row>
    <row r="2765" spans="3:13" s="338" customFormat="1">
      <c r="C2765" s="558"/>
      <c r="D2765" s="559"/>
      <c r="E2765" s="559"/>
      <c r="F2765" s="559"/>
      <c r="G2765" s="558"/>
      <c r="H2765" s="559"/>
      <c r="I2765" s="559"/>
      <c r="J2765" s="559"/>
      <c r="K2765" s="560"/>
      <c r="L2765" s="560"/>
      <c r="M2765" s="560"/>
    </row>
    <row r="2766" spans="3:13" s="338" customFormat="1">
      <c r="C2766" s="558"/>
      <c r="D2766" s="559"/>
      <c r="E2766" s="559"/>
      <c r="F2766" s="559"/>
      <c r="G2766" s="558"/>
      <c r="H2766" s="559"/>
      <c r="I2766" s="559"/>
      <c r="J2766" s="559"/>
      <c r="K2766" s="560"/>
      <c r="L2766" s="560"/>
      <c r="M2766" s="560"/>
    </row>
    <row r="2767" spans="3:13" s="338" customFormat="1">
      <c r="C2767" s="558"/>
      <c r="D2767" s="559"/>
      <c r="E2767" s="559"/>
      <c r="F2767" s="559"/>
      <c r="G2767" s="558"/>
      <c r="H2767" s="559"/>
      <c r="I2767" s="559"/>
      <c r="J2767" s="559"/>
      <c r="K2767" s="560"/>
      <c r="L2767" s="560"/>
      <c r="M2767" s="560"/>
    </row>
    <row r="2768" spans="3:13" s="338" customFormat="1">
      <c r="C2768" s="558"/>
      <c r="D2768" s="559"/>
      <c r="E2768" s="559"/>
      <c r="F2768" s="559"/>
      <c r="G2768" s="558"/>
      <c r="H2768" s="559"/>
      <c r="I2768" s="559"/>
      <c r="J2768" s="559"/>
      <c r="K2768" s="560"/>
      <c r="L2768" s="560"/>
      <c r="M2768" s="560"/>
    </row>
    <row r="2769" spans="3:13" s="338" customFormat="1">
      <c r="C2769" s="558"/>
      <c r="D2769" s="559"/>
      <c r="E2769" s="559"/>
      <c r="F2769" s="559"/>
      <c r="G2769" s="558"/>
      <c r="H2769" s="559"/>
      <c r="I2769" s="559"/>
      <c r="J2769" s="559"/>
      <c r="K2769" s="560"/>
      <c r="L2769" s="560"/>
      <c r="M2769" s="560"/>
    </row>
    <row r="2770" spans="3:13" s="338" customFormat="1">
      <c r="C2770" s="558"/>
      <c r="D2770" s="559"/>
      <c r="E2770" s="559"/>
      <c r="F2770" s="559"/>
      <c r="G2770" s="558"/>
      <c r="H2770" s="559"/>
      <c r="I2770" s="559"/>
      <c r="J2770" s="559"/>
      <c r="K2770" s="560"/>
      <c r="L2770" s="560"/>
      <c r="M2770" s="560"/>
    </row>
    <row r="2771" spans="3:13" s="338" customFormat="1">
      <c r="C2771" s="558"/>
      <c r="D2771" s="559"/>
      <c r="E2771" s="559"/>
      <c r="F2771" s="559"/>
      <c r="G2771" s="558"/>
      <c r="H2771" s="559"/>
      <c r="I2771" s="559"/>
      <c r="J2771" s="559"/>
      <c r="K2771" s="560"/>
      <c r="L2771" s="560"/>
      <c r="M2771" s="560"/>
    </row>
    <row r="2772" spans="3:13" s="338" customFormat="1">
      <c r="C2772" s="558"/>
      <c r="D2772" s="559"/>
      <c r="E2772" s="559"/>
      <c r="F2772" s="559"/>
      <c r="G2772" s="558"/>
      <c r="H2772" s="559"/>
      <c r="I2772" s="559"/>
      <c r="J2772" s="559"/>
      <c r="K2772" s="560"/>
      <c r="L2772" s="560"/>
      <c r="M2772" s="560"/>
    </row>
    <row r="2773" spans="3:13" s="338" customFormat="1">
      <c r="C2773" s="558"/>
      <c r="D2773" s="559"/>
      <c r="E2773" s="559"/>
      <c r="F2773" s="559"/>
      <c r="G2773" s="558"/>
      <c r="H2773" s="559"/>
      <c r="I2773" s="559"/>
      <c r="J2773" s="559"/>
      <c r="K2773" s="560"/>
      <c r="L2773" s="560"/>
      <c r="M2773" s="560"/>
    </row>
    <row r="2774" spans="3:13" s="338" customFormat="1">
      <c r="C2774" s="558"/>
      <c r="D2774" s="559"/>
      <c r="E2774" s="559"/>
      <c r="F2774" s="559"/>
      <c r="G2774" s="558"/>
      <c r="H2774" s="559"/>
      <c r="I2774" s="559"/>
      <c r="J2774" s="559"/>
      <c r="K2774" s="560"/>
      <c r="L2774" s="560"/>
      <c r="M2774" s="560"/>
    </row>
    <row r="2775" spans="3:13" s="338" customFormat="1">
      <c r="C2775" s="558"/>
      <c r="D2775" s="559"/>
      <c r="E2775" s="559"/>
      <c r="F2775" s="559"/>
      <c r="G2775" s="558"/>
      <c r="H2775" s="559"/>
      <c r="I2775" s="559"/>
      <c r="J2775" s="559"/>
      <c r="K2775" s="560"/>
      <c r="L2775" s="560"/>
      <c r="M2775" s="560"/>
    </row>
    <row r="2776" spans="3:13" s="338" customFormat="1">
      <c r="C2776" s="558"/>
      <c r="D2776" s="559"/>
      <c r="E2776" s="559"/>
      <c r="F2776" s="559"/>
      <c r="G2776" s="558"/>
      <c r="H2776" s="559"/>
      <c r="I2776" s="559"/>
      <c r="J2776" s="559"/>
      <c r="K2776" s="560"/>
      <c r="L2776" s="560"/>
      <c r="M2776" s="560"/>
    </row>
    <row r="2777" spans="3:13" s="338" customFormat="1">
      <c r="C2777" s="558"/>
      <c r="D2777" s="559"/>
      <c r="E2777" s="559"/>
      <c r="F2777" s="559"/>
      <c r="G2777" s="558"/>
      <c r="H2777" s="559"/>
      <c r="I2777" s="559"/>
      <c r="J2777" s="559"/>
      <c r="K2777" s="560"/>
      <c r="L2777" s="560"/>
      <c r="M2777" s="560"/>
    </row>
    <row r="2778" spans="3:13" s="338" customFormat="1">
      <c r="C2778" s="558"/>
      <c r="D2778" s="559"/>
      <c r="E2778" s="559"/>
      <c r="F2778" s="559"/>
      <c r="G2778" s="558"/>
      <c r="H2778" s="559"/>
      <c r="I2778" s="559"/>
      <c r="J2778" s="559"/>
      <c r="K2778" s="560"/>
      <c r="L2778" s="560"/>
      <c r="M2778" s="560"/>
    </row>
    <row r="2779" spans="3:13" s="338" customFormat="1">
      <c r="C2779" s="558"/>
      <c r="D2779" s="559"/>
      <c r="E2779" s="559"/>
      <c r="F2779" s="559"/>
      <c r="G2779" s="558"/>
      <c r="H2779" s="559"/>
      <c r="I2779" s="559"/>
      <c r="J2779" s="559"/>
      <c r="K2779" s="560"/>
      <c r="L2779" s="560"/>
      <c r="M2779" s="560"/>
    </row>
    <row r="2780" spans="3:13" s="338" customFormat="1">
      <c r="C2780" s="558"/>
      <c r="D2780" s="559"/>
      <c r="E2780" s="559"/>
      <c r="F2780" s="559"/>
      <c r="G2780" s="558"/>
      <c r="H2780" s="559"/>
      <c r="I2780" s="559"/>
      <c r="J2780" s="559"/>
      <c r="K2780" s="560"/>
      <c r="L2780" s="560"/>
      <c r="M2780" s="560"/>
    </row>
    <row r="2781" spans="3:13" s="338" customFormat="1">
      <c r="C2781" s="558"/>
      <c r="D2781" s="559"/>
      <c r="E2781" s="559"/>
      <c r="F2781" s="559"/>
      <c r="G2781" s="558"/>
      <c r="H2781" s="559"/>
      <c r="I2781" s="559"/>
      <c r="J2781" s="559"/>
      <c r="K2781" s="560"/>
      <c r="L2781" s="560"/>
      <c r="M2781" s="560"/>
    </row>
    <row r="2782" spans="3:13" s="338" customFormat="1">
      <c r="C2782" s="558"/>
      <c r="D2782" s="559"/>
      <c r="E2782" s="559"/>
      <c r="F2782" s="559"/>
      <c r="G2782" s="558"/>
      <c r="H2782" s="559"/>
      <c r="I2782" s="559"/>
      <c r="J2782" s="559"/>
      <c r="K2782" s="560"/>
      <c r="L2782" s="560"/>
      <c r="M2782" s="560"/>
    </row>
    <row r="2783" spans="3:13" s="338" customFormat="1">
      <c r="C2783" s="558"/>
      <c r="D2783" s="559"/>
      <c r="E2783" s="559"/>
      <c r="F2783" s="559"/>
      <c r="G2783" s="558"/>
      <c r="H2783" s="559"/>
      <c r="I2783" s="559"/>
      <c r="J2783" s="559"/>
      <c r="K2783" s="560"/>
      <c r="L2783" s="560"/>
      <c r="M2783" s="560"/>
    </row>
    <row r="2784" spans="3:13" s="338" customFormat="1">
      <c r="C2784" s="558"/>
      <c r="D2784" s="559"/>
      <c r="E2784" s="559"/>
      <c r="F2784" s="559"/>
      <c r="G2784" s="558"/>
      <c r="H2784" s="559"/>
      <c r="I2784" s="559"/>
      <c r="J2784" s="559"/>
      <c r="K2784" s="560"/>
      <c r="L2784" s="560"/>
      <c r="M2784" s="560"/>
    </row>
    <row r="2785" spans="3:13" s="338" customFormat="1">
      <c r="C2785" s="558"/>
      <c r="D2785" s="559"/>
      <c r="E2785" s="559"/>
      <c r="F2785" s="559"/>
      <c r="G2785" s="558"/>
      <c r="H2785" s="559"/>
      <c r="I2785" s="559"/>
      <c r="J2785" s="559"/>
      <c r="K2785" s="560"/>
      <c r="L2785" s="560"/>
      <c r="M2785" s="560"/>
    </row>
    <row r="2786" spans="3:13" s="338" customFormat="1">
      <c r="C2786" s="558"/>
      <c r="D2786" s="559"/>
      <c r="E2786" s="559"/>
      <c r="F2786" s="559"/>
      <c r="G2786" s="558"/>
      <c r="H2786" s="559"/>
      <c r="I2786" s="559"/>
      <c r="J2786" s="559"/>
      <c r="K2786" s="560"/>
      <c r="L2786" s="560"/>
      <c r="M2786" s="560"/>
    </row>
    <row r="2787" spans="3:13" s="338" customFormat="1">
      <c r="C2787" s="558"/>
      <c r="D2787" s="559"/>
      <c r="E2787" s="559"/>
      <c r="F2787" s="559"/>
      <c r="G2787" s="558"/>
      <c r="H2787" s="559"/>
      <c r="I2787" s="559"/>
      <c r="J2787" s="559"/>
      <c r="K2787" s="560"/>
      <c r="L2787" s="560"/>
      <c r="M2787" s="560"/>
    </row>
    <row r="2788" spans="3:13" s="338" customFormat="1">
      <c r="C2788" s="558"/>
      <c r="D2788" s="559"/>
      <c r="E2788" s="559"/>
      <c r="F2788" s="559"/>
      <c r="G2788" s="558"/>
      <c r="H2788" s="559"/>
      <c r="I2788" s="559"/>
      <c r="J2788" s="559"/>
      <c r="K2788" s="560"/>
      <c r="L2788" s="560"/>
      <c r="M2788" s="560"/>
    </row>
    <row r="2789" spans="3:13" s="338" customFormat="1">
      <c r="C2789" s="558"/>
      <c r="D2789" s="559"/>
      <c r="E2789" s="559"/>
      <c r="F2789" s="559"/>
      <c r="G2789" s="558"/>
      <c r="H2789" s="559"/>
      <c r="I2789" s="559"/>
      <c r="J2789" s="559"/>
      <c r="K2789" s="560"/>
      <c r="L2789" s="560"/>
      <c r="M2789" s="560"/>
    </row>
    <row r="2790" spans="3:13" s="338" customFormat="1">
      <c r="C2790" s="558"/>
      <c r="D2790" s="559"/>
      <c r="E2790" s="559"/>
      <c r="F2790" s="559"/>
      <c r="G2790" s="558"/>
      <c r="H2790" s="559"/>
      <c r="I2790" s="559"/>
      <c r="J2790" s="559"/>
      <c r="K2790" s="560"/>
      <c r="L2790" s="560"/>
      <c r="M2790" s="560"/>
    </row>
    <row r="2791" spans="3:13" s="338" customFormat="1">
      <c r="C2791" s="558"/>
      <c r="D2791" s="559"/>
      <c r="E2791" s="559"/>
      <c r="F2791" s="559"/>
      <c r="G2791" s="558"/>
      <c r="H2791" s="559"/>
      <c r="I2791" s="559"/>
      <c r="J2791" s="559"/>
      <c r="K2791" s="560"/>
      <c r="L2791" s="560"/>
      <c r="M2791" s="560"/>
    </row>
    <row r="2792" spans="3:13" s="338" customFormat="1">
      <c r="C2792" s="558"/>
      <c r="D2792" s="559"/>
      <c r="E2792" s="559"/>
      <c r="F2792" s="559"/>
      <c r="G2792" s="558"/>
      <c r="H2792" s="559"/>
      <c r="I2792" s="559"/>
      <c r="J2792" s="559"/>
      <c r="K2792" s="560"/>
      <c r="L2792" s="560"/>
      <c r="M2792" s="560"/>
    </row>
    <row r="2793" spans="3:13" s="338" customFormat="1">
      <c r="C2793" s="558"/>
      <c r="D2793" s="559"/>
      <c r="E2793" s="559"/>
      <c r="F2793" s="559"/>
      <c r="G2793" s="558"/>
      <c r="H2793" s="559"/>
      <c r="I2793" s="559"/>
      <c r="J2793" s="559"/>
      <c r="K2793" s="560"/>
      <c r="L2793" s="560"/>
      <c r="M2793" s="560"/>
    </row>
    <row r="2794" spans="3:13" s="338" customFormat="1">
      <c r="C2794" s="558"/>
      <c r="D2794" s="559"/>
      <c r="E2794" s="559"/>
      <c r="F2794" s="559"/>
      <c r="G2794" s="558"/>
      <c r="H2794" s="559"/>
      <c r="I2794" s="559"/>
      <c r="J2794" s="559"/>
      <c r="K2794" s="560"/>
      <c r="L2794" s="560"/>
      <c r="M2794" s="560"/>
    </row>
    <row r="2795" spans="3:13" s="338" customFormat="1">
      <c r="C2795" s="558"/>
      <c r="D2795" s="559"/>
      <c r="E2795" s="559"/>
      <c r="F2795" s="559"/>
      <c r="G2795" s="558"/>
      <c r="H2795" s="559"/>
      <c r="I2795" s="559"/>
      <c r="J2795" s="559"/>
      <c r="K2795" s="560"/>
      <c r="L2795" s="560"/>
      <c r="M2795" s="560"/>
    </row>
    <row r="2796" spans="3:13" s="338" customFormat="1">
      <c r="C2796" s="558"/>
      <c r="D2796" s="559"/>
      <c r="E2796" s="559"/>
      <c r="F2796" s="559"/>
      <c r="G2796" s="558"/>
      <c r="H2796" s="559"/>
      <c r="I2796" s="559"/>
      <c r="J2796" s="559"/>
      <c r="K2796" s="560"/>
      <c r="L2796" s="560"/>
      <c r="M2796" s="560"/>
    </row>
    <row r="2797" spans="3:13" s="338" customFormat="1">
      <c r="C2797" s="558"/>
      <c r="D2797" s="559"/>
      <c r="E2797" s="559"/>
      <c r="F2797" s="559"/>
      <c r="G2797" s="558"/>
      <c r="H2797" s="559"/>
      <c r="I2797" s="559"/>
      <c r="J2797" s="559"/>
      <c r="K2797" s="560"/>
      <c r="L2797" s="560"/>
      <c r="M2797" s="560"/>
    </row>
    <row r="2798" spans="3:13" s="338" customFormat="1">
      <c r="C2798" s="558"/>
      <c r="D2798" s="559"/>
      <c r="E2798" s="559"/>
      <c r="F2798" s="559"/>
      <c r="G2798" s="558"/>
      <c r="H2798" s="559"/>
      <c r="I2798" s="559"/>
      <c r="J2798" s="559"/>
      <c r="K2798" s="560"/>
      <c r="L2798" s="560"/>
      <c r="M2798" s="560"/>
    </row>
    <row r="2799" spans="3:13" s="338" customFormat="1">
      <c r="C2799" s="558"/>
      <c r="D2799" s="559"/>
      <c r="E2799" s="559"/>
      <c r="F2799" s="559"/>
      <c r="G2799" s="558"/>
      <c r="H2799" s="559"/>
      <c r="I2799" s="559"/>
      <c r="J2799" s="559"/>
      <c r="K2799" s="560"/>
      <c r="L2799" s="560"/>
      <c r="M2799" s="560"/>
    </row>
    <row r="2800" spans="3:13" s="338" customFormat="1">
      <c r="C2800" s="558"/>
      <c r="D2800" s="559"/>
      <c r="E2800" s="559"/>
      <c r="F2800" s="559"/>
      <c r="G2800" s="558"/>
      <c r="H2800" s="559"/>
      <c r="I2800" s="559"/>
      <c r="J2800" s="559"/>
      <c r="K2800" s="560"/>
      <c r="L2800" s="560"/>
      <c r="M2800" s="560"/>
    </row>
    <row r="2801" spans="3:13" s="338" customFormat="1">
      <c r="C2801" s="558"/>
      <c r="D2801" s="559"/>
      <c r="E2801" s="559"/>
      <c r="F2801" s="559"/>
      <c r="G2801" s="558"/>
      <c r="H2801" s="559"/>
      <c r="I2801" s="559"/>
      <c r="J2801" s="559"/>
      <c r="K2801" s="560"/>
      <c r="L2801" s="560"/>
      <c r="M2801" s="560"/>
    </row>
    <row r="2802" spans="3:13" s="338" customFormat="1">
      <c r="C2802" s="558"/>
      <c r="D2802" s="559"/>
      <c r="E2802" s="559"/>
      <c r="F2802" s="559"/>
      <c r="G2802" s="558"/>
      <c r="H2802" s="559"/>
      <c r="I2802" s="559"/>
      <c r="J2802" s="559"/>
      <c r="K2802" s="560"/>
      <c r="L2802" s="560"/>
      <c r="M2802" s="560"/>
    </row>
    <row r="2803" spans="3:13" s="338" customFormat="1">
      <c r="C2803" s="558"/>
      <c r="D2803" s="559"/>
      <c r="E2803" s="559"/>
      <c r="F2803" s="559"/>
      <c r="G2803" s="558"/>
      <c r="H2803" s="559"/>
      <c r="I2803" s="559"/>
      <c r="J2803" s="559"/>
      <c r="K2803" s="560"/>
      <c r="L2803" s="560"/>
      <c r="M2803" s="560"/>
    </row>
    <row r="2804" spans="3:13" s="338" customFormat="1">
      <c r="C2804" s="558"/>
      <c r="D2804" s="559"/>
      <c r="E2804" s="559"/>
      <c r="F2804" s="559"/>
      <c r="G2804" s="558"/>
      <c r="H2804" s="559"/>
      <c r="I2804" s="559"/>
      <c r="J2804" s="559"/>
      <c r="K2804" s="560"/>
      <c r="L2804" s="560"/>
      <c r="M2804" s="560"/>
    </row>
    <row r="2805" spans="3:13" s="338" customFormat="1">
      <c r="C2805" s="558"/>
      <c r="D2805" s="559"/>
      <c r="E2805" s="559"/>
      <c r="F2805" s="559"/>
      <c r="G2805" s="558"/>
      <c r="H2805" s="559"/>
      <c r="I2805" s="559"/>
      <c r="J2805" s="559"/>
      <c r="K2805" s="560"/>
      <c r="L2805" s="560"/>
      <c r="M2805" s="560"/>
    </row>
    <row r="2806" spans="3:13" s="338" customFormat="1">
      <c r="C2806" s="558"/>
      <c r="D2806" s="559"/>
      <c r="E2806" s="559"/>
      <c r="F2806" s="559"/>
      <c r="G2806" s="558"/>
      <c r="H2806" s="559"/>
      <c r="I2806" s="559"/>
      <c r="J2806" s="559"/>
      <c r="K2806" s="560"/>
      <c r="L2806" s="560"/>
      <c r="M2806" s="560"/>
    </row>
    <row r="2807" spans="3:13" s="338" customFormat="1">
      <c r="C2807" s="558"/>
      <c r="D2807" s="559"/>
      <c r="E2807" s="559"/>
      <c r="F2807" s="559"/>
      <c r="G2807" s="558"/>
      <c r="H2807" s="559"/>
      <c r="I2807" s="559"/>
      <c r="J2807" s="559"/>
      <c r="K2807" s="560"/>
      <c r="L2807" s="560"/>
      <c r="M2807" s="560"/>
    </row>
    <row r="2808" spans="3:13" s="338" customFormat="1">
      <c r="C2808" s="558"/>
      <c r="D2808" s="559"/>
      <c r="E2808" s="559"/>
      <c r="F2808" s="559"/>
      <c r="G2808" s="558"/>
      <c r="H2808" s="559"/>
      <c r="I2808" s="559"/>
      <c r="J2808" s="559"/>
      <c r="K2808" s="560"/>
      <c r="L2808" s="560"/>
      <c r="M2808" s="560"/>
    </row>
    <row r="2809" spans="3:13" s="338" customFormat="1">
      <c r="C2809" s="558"/>
      <c r="D2809" s="559"/>
      <c r="E2809" s="559"/>
      <c r="F2809" s="559"/>
      <c r="G2809" s="558"/>
      <c r="H2809" s="559"/>
      <c r="I2809" s="559"/>
      <c r="J2809" s="559"/>
      <c r="K2809" s="560"/>
      <c r="L2809" s="560"/>
      <c r="M2809" s="560"/>
    </row>
    <row r="2810" spans="3:13" s="338" customFormat="1">
      <c r="C2810" s="558"/>
      <c r="D2810" s="559"/>
      <c r="E2810" s="559"/>
      <c r="F2810" s="559"/>
      <c r="G2810" s="558"/>
      <c r="H2810" s="559"/>
      <c r="I2810" s="559"/>
      <c r="J2810" s="559"/>
      <c r="K2810" s="560"/>
      <c r="L2810" s="560"/>
      <c r="M2810" s="560"/>
    </row>
    <row r="2811" spans="3:13" s="338" customFormat="1">
      <c r="C2811" s="558"/>
      <c r="D2811" s="559"/>
      <c r="E2811" s="559"/>
      <c r="F2811" s="559"/>
      <c r="G2811" s="558"/>
      <c r="H2811" s="559"/>
      <c r="I2811" s="559"/>
      <c r="J2811" s="559"/>
      <c r="K2811" s="560"/>
      <c r="L2811" s="560"/>
      <c r="M2811" s="560"/>
    </row>
    <row r="2812" spans="3:13" s="338" customFormat="1">
      <c r="C2812" s="558"/>
      <c r="D2812" s="559"/>
      <c r="E2812" s="559"/>
      <c r="F2812" s="559"/>
      <c r="G2812" s="558"/>
      <c r="H2812" s="559"/>
      <c r="I2812" s="559"/>
      <c r="J2812" s="559"/>
      <c r="K2812" s="560"/>
      <c r="L2812" s="560"/>
      <c r="M2812" s="560"/>
    </row>
    <row r="2813" spans="3:13" s="338" customFormat="1">
      <c r="C2813" s="558"/>
      <c r="D2813" s="559"/>
      <c r="E2813" s="559"/>
      <c r="F2813" s="559"/>
      <c r="G2813" s="558"/>
      <c r="H2813" s="559"/>
      <c r="I2813" s="559"/>
      <c r="J2813" s="559"/>
      <c r="K2813" s="560"/>
      <c r="L2813" s="560"/>
      <c r="M2813" s="560"/>
    </row>
    <row r="2814" spans="3:13" s="338" customFormat="1">
      <c r="C2814" s="558"/>
      <c r="D2814" s="559"/>
      <c r="E2814" s="559"/>
      <c r="F2814" s="559"/>
      <c r="G2814" s="558"/>
      <c r="H2814" s="559"/>
      <c r="I2814" s="559"/>
      <c r="J2814" s="559"/>
      <c r="K2814" s="560"/>
      <c r="L2814" s="560"/>
      <c r="M2814" s="560"/>
    </row>
    <row r="2815" spans="3:13" s="338" customFormat="1">
      <c r="C2815" s="558"/>
      <c r="D2815" s="559"/>
      <c r="E2815" s="559"/>
      <c r="F2815" s="559"/>
      <c r="G2815" s="558"/>
      <c r="H2815" s="559"/>
      <c r="I2815" s="559"/>
      <c r="J2815" s="559"/>
      <c r="K2815" s="560"/>
      <c r="L2815" s="560"/>
      <c r="M2815" s="560"/>
    </row>
    <row r="2816" spans="3:13" s="338" customFormat="1">
      <c r="C2816" s="558"/>
      <c r="D2816" s="559"/>
      <c r="E2816" s="559"/>
      <c r="F2816" s="559"/>
      <c r="G2816" s="558"/>
      <c r="H2816" s="559"/>
      <c r="I2816" s="559"/>
      <c r="J2816" s="559"/>
      <c r="K2816" s="560"/>
      <c r="L2816" s="560"/>
      <c r="M2816" s="560"/>
    </row>
    <row r="2817" spans="3:13" s="338" customFormat="1">
      <c r="C2817" s="558"/>
      <c r="D2817" s="559"/>
      <c r="E2817" s="559"/>
      <c r="F2817" s="559"/>
      <c r="G2817" s="558"/>
      <c r="H2817" s="559"/>
      <c r="I2817" s="559"/>
      <c r="J2817" s="559"/>
      <c r="K2817" s="560"/>
      <c r="L2817" s="560"/>
      <c r="M2817" s="560"/>
    </row>
    <row r="2818" spans="3:13" s="338" customFormat="1">
      <c r="C2818" s="558"/>
      <c r="D2818" s="559"/>
      <c r="E2818" s="559"/>
      <c r="F2818" s="559"/>
      <c r="G2818" s="558"/>
      <c r="H2818" s="559"/>
      <c r="I2818" s="559"/>
      <c r="J2818" s="559"/>
      <c r="K2818" s="560"/>
      <c r="L2818" s="560"/>
      <c r="M2818" s="560"/>
    </row>
    <row r="2819" spans="3:13" s="338" customFormat="1">
      <c r="C2819" s="558"/>
      <c r="D2819" s="559"/>
      <c r="E2819" s="559"/>
      <c r="F2819" s="559"/>
      <c r="G2819" s="558"/>
      <c r="H2819" s="559"/>
      <c r="I2819" s="559"/>
      <c r="J2819" s="559"/>
      <c r="K2819" s="560"/>
      <c r="L2819" s="560"/>
      <c r="M2819" s="560"/>
    </row>
    <row r="2820" spans="3:13" s="338" customFormat="1">
      <c r="C2820" s="558"/>
      <c r="D2820" s="559"/>
      <c r="E2820" s="559"/>
      <c r="F2820" s="559"/>
      <c r="G2820" s="558"/>
      <c r="H2820" s="559"/>
      <c r="I2820" s="559"/>
      <c r="J2820" s="559"/>
      <c r="K2820" s="560"/>
      <c r="L2820" s="560"/>
      <c r="M2820" s="560"/>
    </row>
    <row r="2821" spans="3:13" s="338" customFormat="1">
      <c r="C2821" s="558"/>
      <c r="D2821" s="559"/>
      <c r="E2821" s="559"/>
      <c r="F2821" s="559"/>
      <c r="G2821" s="558"/>
      <c r="H2821" s="559"/>
      <c r="I2821" s="559"/>
      <c r="J2821" s="559"/>
      <c r="K2821" s="560"/>
      <c r="L2821" s="560"/>
      <c r="M2821" s="560"/>
    </row>
    <row r="2822" spans="3:13" s="338" customFormat="1">
      <c r="C2822" s="558"/>
      <c r="D2822" s="559"/>
      <c r="E2822" s="559"/>
      <c r="F2822" s="559"/>
      <c r="G2822" s="558"/>
      <c r="H2822" s="559"/>
      <c r="I2822" s="559"/>
      <c r="J2822" s="559"/>
      <c r="K2822" s="560"/>
      <c r="L2822" s="560"/>
      <c r="M2822" s="560"/>
    </row>
    <row r="2823" spans="3:13" s="338" customFormat="1">
      <c r="C2823" s="558"/>
      <c r="D2823" s="559"/>
      <c r="E2823" s="559"/>
      <c r="F2823" s="559"/>
      <c r="G2823" s="558"/>
      <c r="H2823" s="559"/>
      <c r="I2823" s="559"/>
      <c r="J2823" s="559"/>
      <c r="K2823" s="560"/>
      <c r="L2823" s="560"/>
      <c r="M2823" s="560"/>
    </row>
    <row r="2824" spans="3:13" s="338" customFormat="1">
      <c r="C2824" s="558"/>
      <c r="D2824" s="559"/>
      <c r="E2824" s="559"/>
      <c r="F2824" s="559"/>
      <c r="G2824" s="558"/>
      <c r="H2824" s="559"/>
      <c r="I2824" s="559"/>
      <c r="J2824" s="559"/>
      <c r="K2824" s="560"/>
      <c r="L2824" s="560"/>
      <c r="M2824" s="560"/>
    </row>
    <row r="2825" spans="3:13" s="338" customFormat="1">
      <c r="C2825" s="558"/>
      <c r="D2825" s="559"/>
      <c r="E2825" s="559"/>
      <c r="F2825" s="559"/>
      <c r="G2825" s="558"/>
      <c r="H2825" s="559"/>
      <c r="I2825" s="559"/>
      <c r="J2825" s="559"/>
      <c r="K2825" s="560"/>
      <c r="L2825" s="560"/>
      <c r="M2825" s="560"/>
    </row>
    <row r="2826" spans="3:13" s="338" customFormat="1">
      <c r="C2826" s="558"/>
      <c r="D2826" s="559"/>
      <c r="E2826" s="559"/>
      <c r="F2826" s="559"/>
      <c r="G2826" s="558"/>
      <c r="H2826" s="559"/>
      <c r="I2826" s="559"/>
      <c r="J2826" s="559"/>
      <c r="K2826" s="560"/>
      <c r="L2826" s="560"/>
      <c r="M2826" s="560"/>
    </row>
    <row r="2827" spans="3:13" s="338" customFormat="1">
      <c r="C2827" s="558"/>
      <c r="D2827" s="559"/>
      <c r="E2827" s="559"/>
      <c r="F2827" s="559"/>
      <c r="G2827" s="558"/>
      <c r="H2827" s="559"/>
      <c r="I2827" s="559"/>
      <c r="J2827" s="559"/>
      <c r="K2827" s="560"/>
      <c r="L2827" s="560"/>
      <c r="M2827" s="560"/>
    </row>
    <row r="2828" spans="3:13" s="338" customFormat="1">
      <c r="C2828" s="558"/>
      <c r="D2828" s="559"/>
      <c r="E2828" s="559"/>
      <c r="F2828" s="559"/>
      <c r="G2828" s="558"/>
      <c r="H2828" s="559"/>
      <c r="I2828" s="559"/>
      <c r="J2828" s="559"/>
      <c r="K2828" s="560"/>
      <c r="L2828" s="560"/>
      <c r="M2828" s="560"/>
    </row>
    <row r="2829" spans="3:13" s="338" customFormat="1">
      <c r="C2829" s="558"/>
      <c r="D2829" s="559"/>
      <c r="E2829" s="559"/>
      <c r="F2829" s="559"/>
      <c r="G2829" s="558"/>
      <c r="H2829" s="559"/>
      <c r="I2829" s="559"/>
      <c r="J2829" s="559"/>
      <c r="K2829" s="560"/>
      <c r="L2829" s="560"/>
      <c r="M2829" s="560"/>
    </row>
    <row r="2830" spans="3:13" s="338" customFormat="1">
      <c r="C2830" s="558"/>
      <c r="D2830" s="559"/>
      <c r="E2830" s="559"/>
      <c r="F2830" s="559"/>
      <c r="G2830" s="558"/>
      <c r="H2830" s="559"/>
      <c r="I2830" s="559"/>
      <c r="J2830" s="559"/>
      <c r="K2830" s="560"/>
      <c r="L2830" s="560"/>
      <c r="M2830" s="560"/>
    </row>
    <row r="2831" spans="3:13" s="338" customFormat="1">
      <c r="C2831" s="558"/>
      <c r="D2831" s="559"/>
      <c r="E2831" s="559"/>
      <c r="F2831" s="559"/>
      <c r="G2831" s="558"/>
      <c r="H2831" s="559"/>
      <c r="I2831" s="559"/>
      <c r="J2831" s="559"/>
      <c r="K2831" s="560"/>
      <c r="L2831" s="560"/>
      <c r="M2831" s="560"/>
    </row>
    <row r="2832" spans="3:13" s="338" customFormat="1">
      <c r="C2832" s="558"/>
      <c r="D2832" s="559"/>
      <c r="E2832" s="559"/>
      <c r="F2832" s="559"/>
      <c r="G2832" s="558"/>
      <c r="H2832" s="559"/>
      <c r="I2832" s="559"/>
      <c r="J2832" s="559"/>
      <c r="K2832" s="560"/>
      <c r="L2832" s="560"/>
      <c r="M2832" s="560"/>
    </row>
    <row r="2833" spans="3:13" s="338" customFormat="1">
      <c r="C2833" s="558"/>
      <c r="D2833" s="559"/>
      <c r="E2833" s="559"/>
      <c r="F2833" s="559"/>
      <c r="G2833" s="558"/>
      <c r="H2833" s="559"/>
      <c r="I2833" s="559"/>
      <c r="J2833" s="559"/>
      <c r="K2833" s="560"/>
      <c r="L2833" s="560"/>
      <c r="M2833" s="560"/>
    </row>
    <row r="2834" spans="3:13" s="338" customFormat="1">
      <c r="C2834" s="558"/>
      <c r="D2834" s="559"/>
      <c r="E2834" s="559"/>
      <c r="F2834" s="559"/>
      <c r="G2834" s="558"/>
      <c r="H2834" s="559"/>
      <c r="I2834" s="559"/>
      <c r="J2834" s="559"/>
      <c r="K2834" s="560"/>
      <c r="L2834" s="560"/>
      <c r="M2834" s="560"/>
    </row>
    <row r="2835" spans="3:13" s="338" customFormat="1">
      <c r="C2835" s="558"/>
      <c r="D2835" s="559"/>
      <c r="E2835" s="559"/>
      <c r="F2835" s="559"/>
      <c r="G2835" s="558"/>
      <c r="H2835" s="559"/>
      <c r="I2835" s="559"/>
      <c r="J2835" s="559"/>
      <c r="K2835" s="560"/>
      <c r="L2835" s="560"/>
      <c r="M2835" s="560"/>
    </row>
    <row r="2836" spans="3:13" s="338" customFormat="1">
      <c r="C2836" s="558"/>
      <c r="D2836" s="559"/>
      <c r="E2836" s="559"/>
      <c r="F2836" s="559"/>
      <c r="G2836" s="558"/>
      <c r="H2836" s="559"/>
      <c r="I2836" s="559"/>
      <c r="J2836" s="559"/>
      <c r="K2836" s="560"/>
      <c r="L2836" s="560"/>
      <c r="M2836" s="560"/>
    </row>
    <row r="2837" spans="3:13" s="338" customFormat="1">
      <c r="C2837" s="558"/>
      <c r="D2837" s="559"/>
      <c r="E2837" s="559"/>
      <c r="F2837" s="559"/>
      <c r="G2837" s="558"/>
      <c r="H2837" s="559"/>
      <c r="I2837" s="559"/>
      <c r="J2837" s="559"/>
      <c r="K2837" s="560"/>
      <c r="L2837" s="560"/>
      <c r="M2837" s="560"/>
    </row>
    <row r="2838" spans="3:13" s="338" customFormat="1">
      <c r="C2838" s="558"/>
      <c r="D2838" s="559"/>
      <c r="E2838" s="559"/>
      <c r="F2838" s="559"/>
      <c r="G2838" s="558"/>
      <c r="H2838" s="559"/>
      <c r="I2838" s="559"/>
      <c r="J2838" s="559"/>
      <c r="K2838" s="560"/>
      <c r="L2838" s="560"/>
      <c r="M2838" s="560"/>
    </row>
    <row r="2839" spans="3:13" s="338" customFormat="1">
      <c r="C2839" s="558"/>
      <c r="D2839" s="559"/>
      <c r="E2839" s="559"/>
      <c r="F2839" s="559"/>
      <c r="G2839" s="558"/>
      <c r="H2839" s="559"/>
      <c r="I2839" s="559"/>
      <c r="J2839" s="559"/>
      <c r="K2839" s="560"/>
      <c r="L2839" s="560"/>
      <c r="M2839" s="560"/>
    </row>
    <row r="2840" spans="3:13" s="338" customFormat="1">
      <c r="C2840" s="558"/>
      <c r="D2840" s="559"/>
      <c r="E2840" s="559"/>
      <c r="F2840" s="559"/>
      <c r="G2840" s="558"/>
      <c r="H2840" s="559"/>
      <c r="I2840" s="559"/>
      <c r="J2840" s="559"/>
      <c r="K2840" s="560"/>
      <c r="L2840" s="560"/>
      <c r="M2840" s="560"/>
    </row>
    <row r="2841" spans="3:13" s="338" customFormat="1">
      <c r="C2841" s="558"/>
      <c r="D2841" s="559"/>
      <c r="E2841" s="559"/>
      <c r="F2841" s="559"/>
      <c r="G2841" s="558"/>
      <c r="H2841" s="559"/>
      <c r="I2841" s="559"/>
      <c r="J2841" s="559"/>
      <c r="K2841" s="560"/>
      <c r="L2841" s="560"/>
      <c r="M2841" s="560"/>
    </row>
    <row r="2842" spans="3:13" s="338" customFormat="1">
      <c r="C2842" s="558"/>
      <c r="D2842" s="559"/>
      <c r="E2842" s="559"/>
      <c r="F2842" s="559"/>
      <c r="G2842" s="558"/>
      <c r="H2842" s="559"/>
      <c r="I2842" s="559"/>
      <c r="J2842" s="559"/>
      <c r="K2842" s="560"/>
      <c r="L2842" s="560"/>
      <c r="M2842" s="560"/>
    </row>
    <row r="2843" spans="3:13" s="338" customFormat="1">
      <c r="C2843" s="558"/>
      <c r="D2843" s="559"/>
      <c r="E2843" s="559"/>
      <c r="F2843" s="559"/>
      <c r="G2843" s="558"/>
      <c r="H2843" s="559"/>
      <c r="I2843" s="559"/>
      <c r="J2843" s="559"/>
      <c r="K2843" s="560"/>
      <c r="L2843" s="560"/>
      <c r="M2843" s="560"/>
    </row>
    <row r="2844" spans="3:13" s="338" customFormat="1">
      <c r="C2844" s="558"/>
      <c r="D2844" s="559"/>
      <c r="E2844" s="559"/>
      <c r="F2844" s="559"/>
      <c r="G2844" s="558"/>
      <c r="H2844" s="559"/>
      <c r="I2844" s="559"/>
      <c r="J2844" s="559"/>
      <c r="K2844" s="560"/>
      <c r="L2844" s="560"/>
      <c r="M2844" s="560"/>
    </row>
    <row r="2845" spans="3:13" s="338" customFormat="1">
      <c r="C2845" s="558"/>
      <c r="D2845" s="559"/>
      <c r="E2845" s="559"/>
      <c r="F2845" s="559"/>
      <c r="G2845" s="558"/>
      <c r="H2845" s="559"/>
      <c r="I2845" s="559"/>
      <c r="J2845" s="559"/>
      <c r="K2845" s="560"/>
      <c r="L2845" s="560"/>
      <c r="M2845" s="560"/>
    </row>
    <row r="2846" spans="3:13" s="338" customFormat="1">
      <c r="C2846" s="558"/>
      <c r="D2846" s="559"/>
      <c r="E2846" s="559"/>
      <c r="F2846" s="559"/>
      <c r="G2846" s="558"/>
      <c r="H2846" s="559"/>
      <c r="I2846" s="559"/>
      <c r="J2846" s="559"/>
      <c r="K2846" s="560"/>
      <c r="L2846" s="560"/>
      <c r="M2846" s="560"/>
    </row>
    <row r="2847" spans="3:13" s="338" customFormat="1">
      <c r="C2847" s="558"/>
      <c r="D2847" s="559"/>
      <c r="E2847" s="559"/>
      <c r="F2847" s="559"/>
      <c r="G2847" s="558"/>
      <c r="H2847" s="559"/>
      <c r="I2847" s="559"/>
      <c r="J2847" s="559"/>
      <c r="K2847" s="560"/>
      <c r="L2847" s="560"/>
      <c r="M2847" s="560"/>
    </row>
    <row r="2848" spans="3:13" s="338" customFormat="1">
      <c r="C2848" s="558"/>
      <c r="D2848" s="559"/>
      <c r="E2848" s="559"/>
      <c r="F2848" s="559"/>
      <c r="G2848" s="558"/>
      <c r="H2848" s="559"/>
      <c r="I2848" s="559"/>
      <c r="J2848" s="559"/>
      <c r="K2848" s="560"/>
      <c r="L2848" s="560"/>
      <c r="M2848" s="560"/>
    </row>
    <row r="2849" spans="3:13" s="338" customFormat="1">
      <c r="C2849" s="558"/>
      <c r="D2849" s="559"/>
      <c r="E2849" s="559"/>
      <c r="F2849" s="559"/>
      <c r="G2849" s="558"/>
      <c r="H2849" s="559"/>
      <c r="I2849" s="559"/>
      <c r="J2849" s="559"/>
      <c r="K2849" s="560"/>
      <c r="L2849" s="560"/>
      <c r="M2849" s="560"/>
    </row>
    <row r="2850" spans="3:13" s="338" customFormat="1">
      <c r="C2850" s="558"/>
      <c r="D2850" s="559"/>
      <c r="E2850" s="559"/>
      <c r="F2850" s="559"/>
      <c r="G2850" s="558"/>
      <c r="H2850" s="559"/>
      <c r="I2850" s="559"/>
      <c r="J2850" s="559"/>
      <c r="K2850" s="560"/>
      <c r="L2850" s="560"/>
      <c r="M2850" s="560"/>
    </row>
    <row r="2851" spans="3:13" s="338" customFormat="1">
      <c r="C2851" s="558"/>
      <c r="D2851" s="559"/>
      <c r="E2851" s="559"/>
      <c r="F2851" s="559"/>
      <c r="G2851" s="558"/>
      <c r="H2851" s="559"/>
      <c r="I2851" s="559"/>
      <c r="J2851" s="559"/>
      <c r="K2851" s="560"/>
      <c r="L2851" s="560"/>
      <c r="M2851" s="560"/>
    </row>
    <row r="2852" spans="3:13" s="338" customFormat="1">
      <c r="C2852" s="558"/>
      <c r="D2852" s="559"/>
      <c r="E2852" s="559"/>
      <c r="F2852" s="559"/>
      <c r="G2852" s="558"/>
      <c r="H2852" s="559"/>
      <c r="I2852" s="559"/>
      <c r="J2852" s="559"/>
      <c r="K2852" s="560"/>
      <c r="L2852" s="560"/>
      <c r="M2852" s="560"/>
    </row>
    <row r="2853" spans="3:13" s="338" customFormat="1">
      <c r="C2853" s="558"/>
      <c r="D2853" s="559"/>
      <c r="E2853" s="559"/>
      <c r="F2853" s="559"/>
      <c r="G2853" s="558"/>
      <c r="H2853" s="559"/>
      <c r="I2853" s="559"/>
      <c r="J2853" s="559"/>
      <c r="K2853" s="560"/>
      <c r="L2853" s="560"/>
      <c r="M2853" s="560"/>
    </row>
    <row r="2854" spans="3:13" s="338" customFormat="1">
      <c r="C2854" s="558"/>
      <c r="D2854" s="559"/>
      <c r="E2854" s="559"/>
      <c r="F2854" s="559"/>
      <c r="G2854" s="558"/>
      <c r="H2854" s="559"/>
      <c r="I2854" s="559"/>
      <c r="J2854" s="559"/>
      <c r="K2854" s="560"/>
      <c r="L2854" s="560"/>
      <c r="M2854" s="560"/>
    </row>
    <row r="2855" spans="3:13" s="338" customFormat="1">
      <c r="C2855" s="558"/>
      <c r="D2855" s="559"/>
      <c r="E2855" s="559"/>
      <c r="F2855" s="559"/>
      <c r="G2855" s="558"/>
      <c r="H2855" s="559"/>
      <c r="I2855" s="559"/>
      <c r="J2855" s="559"/>
      <c r="K2855" s="560"/>
      <c r="L2855" s="560"/>
      <c r="M2855" s="560"/>
    </row>
    <row r="2856" spans="3:13" s="338" customFormat="1">
      <c r="C2856" s="558"/>
      <c r="D2856" s="559"/>
      <c r="E2856" s="559"/>
      <c r="F2856" s="559"/>
      <c r="G2856" s="558"/>
      <c r="H2856" s="559"/>
      <c r="I2856" s="559"/>
      <c r="J2856" s="559"/>
      <c r="K2856" s="560"/>
      <c r="L2856" s="560"/>
      <c r="M2856" s="560"/>
    </row>
    <row r="2857" spans="3:13" s="338" customFormat="1">
      <c r="C2857" s="558"/>
      <c r="D2857" s="559"/>
      <c r="E2857" s="559"/>
      <c r="F2857" s="559"/>
      <c r="G2857" s="558"/>
      <c r="H2857" s="559"/>
      <c r="I2857" s="559"/>
      <c r="J2857" s="559"/>
      <c r="K2857" s="560"/>
      <c r="L2857" s="560"/>
      <c r="M2857" s="560"/>
    </row>
    <row r="2858" spans="3:13" s="338" customFormat="1">
      <c r="C2858" s="558"/>
      <c r="D2858" s="559"/>
      <c r="E2858" s="559"/>
      <c r="F2858" s="559"/>
      <c r="G2858" s="558"/>
      <c r="H2858" s="559"/>
      <c r="I2858" s="559"/>
      <c r="J2858" s="559"/>
      <c r="K2858" s="560"/>
      <c r="L2858" s="560"/>
      <c r="M2858" s="560"/>
    </row>
    <row r="2859" spans="3:13" s="338" customFormat="1">
      <c r="C2859" s="558"/>
      <c r="D2859" s="559"/>
      <c r="E2859" s="559"/>
      <c r="F2859" s="559"/>
      <c r="G2859" s="558"/>
      <c r="H2859" s="559"/>
      <c r="I2859" s="559"/>
      <c r="J2859" s="559"/>
      <c r="K2859" s="560"/>
      <c r="L2859" s="560"/>
      <c r="M2859" s="560"/>
    </row>
    <row r="2860" spans="3:13" s="338" customFormat="1">
      <c r="C2860" s="558"/>
      <c r="D2860" s="559"/>
      <c r="E2860" s="559"/>
      <c r="F2860" s="559"/>
      <c r="G2860" s="558"/>
      <c r="H2860" s="559"/>
      <c r="I2860" s="559"/>
      <c r="J2860" s="559"/>
      <c r="K2860" s="560"/>
      <c r="L2860" s="560"/>
      <c r="M2860" s="560"/>
    </row>
    <row r="2861" spans="3:13" s="338" customFormat="1">
      <c r="C2861" s="558"/>
      <c r="D2861" s="559"/>
      <c r="E2861" s="559"/>
      <c r="F2861" s="559"/>
      <c r="G2861" s="558"/>
      <c r="H2861" s="559"/>
      <c r="I2861" s="559"/>
      <c r="J2861" s="559"/>
      <c r="K2861" s="560"/>
      <c r="L2861" s="560"/>
      <c r="M2861" s="560"/>
    </row>
    <row r="2862" spans="3:13" s="338" customFormat="1">
      <c r="C2862" s="558"/>
      <c r="D2862" s="559"/>
      <c r="E2862" s="559"/>
      <c r="F2862" s="559"/>
      <c r="G2862" s="558"/>
      <c r="H2862" s="559"/>
      <c r="I2862" s="559"/>
      <c r="J2862" s="559"/>
      <c r="K2862" s="560"/>
      <c r="L2862" s="560"/>
      <c r="M2862" s="560"/>
    </row>
    <row r="2863" spans="3:13" s="338" customFormat="1">
      <c r="C2863" s="558"/>
      <c r="D2863" s="559"/>
      <c r="E2863" s="559"/>
      <c r="F2863" s="559"/>
      <c r="G2863" s="558"/>
      <c r="H2863" s="559"/>
      <c r="I2863" s="559"/>
      <c r="J2863" s="559"/>
      <c r="K2863" s="560"/>
      <c r="L2863" s="560"/>
      <c r="M2863" s="560"/>
    </row>
    <row r="2864" spans="3:13" s="338" customFormat="1">
      <c r="C2864" s="558"/>
      <c r="D2864" s="559"/>
      <c r="E2864" s="559"/>
      <c r="F2864" s="559"/>
      <c r="G2864" s="558"/>
      <c r="H2864" s="559"/>
      <c r="I2864" s="559"/>
      <c r="J2864" s="559"/>
      <c r="K2864" s="560"/>
      <c r="L2864" s="560"/>
      <c r="M2864" s="560"/>
    </row>
    <row r="2865" spans="3:13" s="338" customFormat="1">
      <c r="C2865" s="558"/>
      <c r="D2865" s="559"/>
      <c r="E2865" s="559"/>
      <c r="F2865" s="559"/>
      <c r="G2865" s="558"/>
      <c r="H2865" s="559"/>
      <c r="I2865" s="559"/>
      <c r="J2865" s="559"/>
      <c r="K2865" s="560"/>
      <c r="L2865" s="560"/>
      <c r="M2865" s="560"/>
    </row>
    <row r="2866" spans="3:13" s="338" customFormat="1">
      <c r="C2866" s="558"/>
      <c r="D2866" s="559"/>
      <c r="E2866" s="559"/>
      <c r="F2866" s="559"/>
      <c r="G2866" s="558"/>
      <c r="H2866" s="559"/>
      <c r="I2866" s="559"/>
      <c r="J2866" s="559"/>
      <c r="K2866" s="560"/>
      <c r="L2866" s="560"/>
      <c r="M2866" s="560"/>
    </row>
    <row r="2867" spans="3:13" s="338" customFormat="1">
      <c r="C2867" s="558"/>
      <c r="D2867" s="559"/>
      <c r="E2867" s="559"/>
      <c r="F2867" s="559"/>
      <c r="G2867" s="558"/>
      <c r="H2867" s="559"/>
      <c r="I2867" s="559"/>
      <c r="J2867" s="559"/>
      <c r="K2867" s="560"/>
      <c r="L2867" s="560"/>
      <c r="M2867" s="560"/>
    </row>
    <row r="2868" spans="3:13" s="338" customFormat="1">
      <c r="C2868" s="558"/>
      <c r="D2868" s="559"/>
      <c r="E2868" s="559"/>
      <c r="F2868" s="559"/>
      <c r="G2868" s="558"/>
      <c r="H2868" s="559"/>
      <c r="I2868" s="559"/>
      <c r="J2868" s="559"/>
      <c r="K2868" s="560"/>
      <c r="L2868" s="560"/>
      <c r="M2868" s="560"/>
    </row>
    <row r="2869" spans="3:13" s="338" customFormat="1">
      <c r="C2869" s="558"/>
      <c r="D2869" s="559"/>
      <c r="E2869" s="559"/>
      <c r="F2869" s="559"/>
      <c r="G2869" s="558"/>
      <c r="H2869" s="559"/>
      <c r="I2869" s="559"/>
      <c r="J2869" s="559"/>
      <c r="K2869" s="560"/>
      <c r="L2869" s="560"/>
      <c r="M2869" s="560"/>
    </row>
    <row r="2870" spans="3:13" s="338" customFormat="1">
      <c r="C2870" s="558"/>
      <c r="D2870" s="559"/>
      <c r="E2870" s="559"/>
      <c r="F2870" s="559"/>
      <c r="G2870" s="558"/>
      <c r="H2870" s="559"/>
      <c r="I2870" s="559"/>
      <c r="J2870" s="559"/>
      <c r="K2870" s="560"/>
      <c r="L2870" s="560"/>
      <c r="M2870" s="560"/>
    </row>
    <row r="2871" spans="3:13" s="338" customFormat="1">
      <c r="C2871" s="558"/>
      <c r="D2871" s="559"/>
      <c r="E2871" s="559"/>
      <c r="F2871" s="559"/>
      <c r="G2871" s="558"/>
      <c r="H2871" s="559"/>
      <c r="I2871" s="559"/>
      <c r="J2871" s="559"/>
      <c r="K2871" s="560"/>
      <c r="L2871" s="560"/>
      <c r="M2871" s="560"/>
    </row>
    <row r="2872" spans="3:13" s="338" customFormat="1">
      <c r="C2872" s="558"/>
      <c r="D2872" s="559"/>
      <c r="E2872" s="559"/>
      <c r="F2872" s="559"/>
      <c r="G2872" s="558"/>
      <c r="H2872" s="559"/>
      <c r="I2872" s="559"/>
      <c r="J2872" s="559"/>
      <c r="K2872" s="560"/>
      <c r="L2872" s="560"/>
      <c r="M2872" s="560"/>
    </row>
    <row r="2873" spans="3:13" s="338" customFormat="1">
      <c r="C2873" s="558"/>
      <c r="D2873" s="559"/>
      <c r="E2873" s="559"/>
      <c r="F2873" s="559"/>
      <c r="G2873" s="558"/>
      <c r="H2873" s="559"/>
      <c r="I2873" s="559"/>
      <c r="J2873" s="559"/>
      <c r="K2873" s="560"/>
      <c r="L2873" s="560"/>
      <c r="M2873" s="560"/>
    </row>
    <row r="2874" spans="3:13" s="338" customFormat="1">
      <c r="C2874" s="558"/>
      <c r="D2874" s="559"/>
      <c r="E2874" s="559"/>
      <c r="F2874" s="559"/>
      <c r="G2874" s="558"/>
      <c r="H2874" s="559"/>
      <c r="I2874" s="559"/>
      <c r="J2874" s="559"/>
      <c r="K2874" s="560"/>
      <c r="L2874" s="560"/>
      <c r="M2874" s="560"/>
    </row>
    <row r="2875" spans="3:13" s="338" customFormat="1">
      <c r="C2875" s="558"/>
      <c r="D2875" s="559"/>
      <c r="E2875" s="559"/>
      <c r="F2875" s="559"/>
      <c r="G2875" s="558"/>
      <c r="H2875" s="559"/>
      <c r="I2875" s="559"/>
      <c r="J2875" s="559"/>
      <c r="K2875" s="560"/>
      <c r="L2875" s="560"/>
      <c r="M2875" s="560"/>
    </row>
    <row r="2876" spans="3:13" s="338" customFormat="1">
      <c r="C2876" s="558"/>
      <c r="D2876" s="559"/>
      <c r="E2876" s="559"/>
      <c r="F2876" s="559"/>
      <c r="G2876" s="558"/>
      <c r="H2876" s="559"/>
      <c r="I2876" s="559"/>
      <c r="J2876" s="559"/>
      <c r="K2876" s="560"/>
      <c r="L2876" s="560"/>
      <c r="M2876" s="560"/>
    </row>
    <row r="2877" spans="3:13" s="338" customFormat="1">
      <c r="C2877" s="558"/>
      <c r="D2877" s="559"/>
      <c r="E2877" s="559"/>
      <c r="F2877" s="559"/>
      <c r="G2877" s="558"/>
      <c r="H2877" s="559"/>
      <c r="I2877" s="559"/>
      <c r="J2877" s="559"/>
      <c r="K2877" s="560"/>
      <c r="L2877" s="560"/>
      <c r="M2877" s="560"/>
    </row>
    <row r="2878" spans="3:13" s="338" customFormat="1">
      <c r="C2878" s="558"/>
      <c r="D2878" s="559"/>
      <c r="E2878" s="559"/>
      <c r="F2878" s="559"/>
      <c r="G2878" s="558"/>
      <c r="H2878" s="559"/>
      <c r="I2878" s="559"/>
      <c r="J2878" s="559"/>
      <c r="K2878" s="560"/>
      <c r="L2878" s="560"/>
      <c r="M2878" s="560"/>
    </row>
    <row r="2879" spans="3:13" s="338" customFormat="1">
      <c r="C2879" s="558"/>
      <c r="D2879" s="559"/>
      <c r="E2879" s="559"/>
      <c r="F2879" s="559"/>
      <c r="G2879" s="558"/>
      <c r="H2879" s="559"/>
      <c r="I2879" s="559"/>
      <c r="J2879" s="559"/>
      <c r="K2879" s="560"/>
      <c r="L2879" s="560"/>
      <c r="M2879" s="560"/>
    </row>
    <row r="2880" spans="3:13" s="338" customFormat="1">
      <c r="C2880" s="558"/>
      <c r="D2880" s="559"/>
      <c r="E2880" s="559"/>
      <c r="F2880" s="559"/>
      <c r="G2880" s="558"/>
      <c r="H2880" s="559"/>
      <c r="I2880" s="559"/>
      <c r="J2880" s="559"/>
      <c r="K2880" s="560"/>
      <c r="L2880" s="560"/>
      <c r="M2880" s="560"/>
    </row>
    <row r="2881" spans="3:13" s="338" customFormat="1">
      <c r="C2881" s="558"/>
      <c r="D2881" s="559"/>
      <c r="E2881" s="559"/>
      <c r="F2881" s="559"/>
      <c r="G2881" s="558"/>
      <c r="H2881" s="559"/>
      <c r="I2881" s="559"/>
      <c r="J2881" s="559"/>
      <c r="K2881" s="560"/>
      <c r="L2881" s="560"/>
      <c r="M2881" s="560"/>
    </row>
    <row r="2882" spans="3:13" s="338" customFormat="1">
      <c r="C2882" s="558"/>
      <c r="D2882" s="559"/>
      <c r="E2882" s="559"/>
      <c r="F2882" s="559"/>
      <c r="G2882" s="558"/>
      <c r="H2882" s="559"/>
      <c r="I2882" s="559"/>
      <c r="J2882" s="559"/>
      <c r="K2882" s="560"/>
      <c r="L2882" s="560"/>
      <c r="M2882" s="560"/>
    </row>
    <row r="2883" spans="3:13" s="338" customFormat="1">
      <c r="C2883" s="558"/>
      <c r="D2883" s="559"/>
      <c r="E2883" s="559"/>
      <c r="F2883" s="559"/>
      <c r="G2883" s="558"/>
      <c r="H2883" s="559"/>
      <c r="I2883" s="559"/>
      <c r="J2883" s="559"/>
      <c r="K2883" s="560"/>
      <c r="L2883" s="560"/>
      <c r="M2883" s="560"/>
    </row>
    <row r="2884" spans="3:13" s="338" customFormat="1">
      <c r="C2884" s="558"/>
      <c r="D2884" s="559"/>
      <c r="E2884" s="559"/>
      <c r="F2884" s="559"/>
      <c r="G2884" s="558"/>
      <c r="H2884" s="559"/>
      <c r="I2884" s="559"/>
      <c r="J2884" s="559"/>
      <c r="K2884" s="560"/>
      <c r="L2884" s="560"/>
      <c r="M2884" s="560"/>
    </row>
    <row r="2885" spans="3:13" s="338" customFormat="1">
      <c r="C2885" s="558"/>
      <c r="D2885" s="559"/>
      <c r="E2885" s="559"/>
      <c r="F2885" s="559"/>
      <c r="G2885" s="558"/>
      <c r="H2885" s="559"/>
      <c r="I2885" s="559"/>
      <c r="J2885" s="559"/>
      <c r="K2885" s="560"/>
      <c r="L2885" s="560"/>
      <c r="M2885" s="560"/>
    </row>
    <row r="2886" spans="3:13" s="338" customFormat="1">
      <c r="C2886" s="558"/>
      <c r="D2886" s="559"/>
      <c r="E2886" s="559"/>
      <c r="F2886" s="559"/>
      <c r="G2886" s="558"/>
      <c r="H2886" s="559"/>
      <c r="I2886" s="559"/>
      <c r="J2886" s="559"/>
      <c r="K2886" s="560"/>
      <c r="L2886" s="560"/>
      <c r="M2886" s="560"/>
    </row>
    <row r="2887" spans="3:13" s="338" customFormat="1">
      <c r="C2887" s="558"/>
      <c r="D2887" s="559"/>
      <c r="E2887" s="559"/>
      <c r="F2887" s="559"/>
      <c r="G2887" s="558"/>
      <c r="H2887" s="559"/>
      <c r="I2887" s="559"/>
      <c r="J2887" s="559"/>
      <c r="K2887" s="560"/>
      <c r="L2887" s="560"/>
      <c r="M2887" s="560"/>
    </row>
    <row r="2888" spans="3:13" s="338" customFormat="1">
      <c r="C2888" s="558"/>
      <c r="D2888" s="559"/>
      <c r="E2888" s="559"/>
      <c r="F2888" s="559"/>
      <c r="G2888" s="558"/>
      <c r="H2888" s="559"/>
      <c r="I2888" s="559"/>
      <c r="J2888" s="559"/>
      <c r="K2888" s="560"/>
      <c r="L2888" s="560"/>
      <c r="M2888" s="560"/>
    </row>
    <row r="2889" spans="3:13" s="338" customFormat="1">
      <c r="C2889" s="558"/>
      <c r="D2889" s="559"/>
      <c r="E2889" s="559"/>
      <c r="F2889" s="559"/>
      <c r="G2889" s="558"/>
      <c r="H2889" s="559"/>
      <c r="I2889" s="559"/>
      <c r="J2889" s="559"/>
      <c r="K2889" s="560"/>
      <c r="L2889" s="560"/>
      <c r="M2889" s="560"/>
    </row>
    <row r="2890" spans="3:13" s="338" customFormat="1">
      <c r="C2890" s="558"/>
      <c r="D2890" s="559"/>
      <c r="E2890" s="559"/>
      <c r="F2890" s="559"/>
      <c r="G2890" s="558"/>
      <c r="H2890" s="559"/>
      <c r="I2890" s="559"/>
      <c r="J2890" s="559"/>
      <c r="K2890" s="560"/>
      <c r="L2890" s="560"/>
      <c r="M2890" s="560"/>
    </row>
    <row r="2891" spans="3:13" s="338" customFormat="1">
      <c r="C2891" s="558"/>
      <c r="D2891" s="559"/>
      <c r="E2891" s="559"/>
      <c r="F2891" s="559"/>
      <c r="G2891" s="558"/>
      <c r="H2891" s="559"/>
      <c r="I2891" s="559"/>
      <c r="J2891" s="559"/>
      <c r="K2891" s="560"/>
      <c r="L2891" s="560"/>
      <c r="M2891" s="560"/>
    </row>
    <row r="2892" spans="3:13" s="338" customFormat="1">
      <c r="C2892" s="558"/>
      <c r="D2892" s="559"/>
      <c r="E2892" s="559"/>
      <c r="F2892" s="559"/>
      <c r="G2892" s="558"/>
      <c r="H2892" s="559"/>
      <c r="I2892" s="559"/>
      <c r="J2892" s="559"/>
      <c r="K2892" s="560"/>
      <c r="L2892" s="560"/>
      <c r="M2892" s="560"/>
    </row>
    <row r="2893" spans="3:13" s="338" customFormat="1">
      <c r="C2893" s="558"/>
      <c r="D2893" s="559"/>
      <c r="E2893" s="559"/>
      <c r="F2893" s="559"/>
      <c r="G2893" s="558"/>
      <c r="H2893" s="559"/>
      <c r="I2893" s="559"/>
      <c r="J2893" s="559"/>
      <c r="K2893" s="560"/>
      <c r="L2893" s="560"/>
      <c r="M2893" s="560"/>
    </row>
    <row r="2894" spans="3:13" s="338" customFormat="1">
      <c r="C2894" s="558"/>
      <c r="D2894" s="559"/>
      <c r="E2894" s="559"/>
      <c r="F2894" s="559"/>
      <c r="G2894" s="558"/>
      <c r="H2894" s="559"/>
      <c r="I2894" s="559"/>
      <c r="J2894" s="559"/>
      <c r="K2894" s="560"/>
      <c r="L2894" s="560"/>
      <c r="M2894" s="560"/>
    </row>
    <row r="2895" spans="3:13" s="338" customFormat="1">
      <c r="C2895" s="558"/>
      <c r="D2895" s="559"/>
      <c r="E2895" s="559"/>
      <c r="F2895" s="559"/>
      <c r="G2895" s="558"/>
      <c r="H2895" s="559"/>
      <c r="I2895" s="559"/>
      <c r="J2895" s="559"/>
      <c r="K2895" s="560"/>
      <c r="L2895" s="560"/>
      <c r="M2895" s="560"/>
    </row>
    <row r="2896" spans="3:13" s="338" customFormat="1">
      <c r="C2896" s="558"/>
      <c r="D2896" s="559"/>
      <c r="E2896" s="559"/>
      <c r="F2896" s="559"/>
      <c r="G2896" s="558"/>
      <c r="H2896" s="559"/>
      <c r="I2896" s="559"/>
      <c r="J2896" s="559"/>
      <c r="K2896" s="560"/>
      <c r="L2896" s="560"/>
      <c r="M2896" s="560"/>
    </row>
    <row r="2897" spans="3:13" s="338" customFormat="1">
      <c r="C2897" s="558"/>
      <c r="D2897" s="559"/>
      <c r="E2897" s="559"/>
      <c r="F2897" s="559"/>
      <c r="G2897" s="558"/>
      <c r="H2897" s="559"/>
      <c r="I2897" s="559"/>
      <c r="J2897" s="559"/>
      <c r="K2897" s="560"/>
      <c r="L2897" s="560"/>
      <c r="M2897" s="560"/>
    </row>
    <row r="2898" spans="3:13" s="338" customFormat="1">
      <c r="C2898" s="558"/>
      <c r="D2898" s="559"/>
      <c r="E2898" s="559"/>
      <c r="F2898" s="559"/>
      <c r="G2898" s="558"/>
      <c r="H2898" s="559"/>
      <c r="I2898" s="559"/>
      <c r="J2898" s="559"/>
      <c r="K2898" s="560"/>
      <c r="L2898" s="560"/>
      <c r="M2898" s="560"/>
    </row>
    <row r="2899" spans="3:13" s="338" customFormat="1">
      <c r="C2899" s="558"/>
      <c r="D2899" s="559"/>
      <c r="E2899" s="559"/>
      <c r="F2899" s="559"/>
      <c r="G2899" s="558"/>
      <c r="H2899" s="559"/>
      <c r="I2899" s="559"/>
      <c r="J2899" s="559"/>
      <c r="K2899" s="560"/>
      <c r="L2899" s="560"/>
      <c r="M2899" s="560"/>
    </row>
    <row r="2900" spans="3:13" s="338" customFormat="1">
      <c r="C2900" s="558"/>
      <c r="D2900" s="559"/>
      <c r="E2900" s="559"/>
      <c r="F2900" s="559"/>
      <c r="G2900" s="558"/>
      <c r="H2900" s="559"/>
      <c r="I2900" s="559"/>
      <c r="J2900" s="559"/>
      <c r="K2900" s="560"/>
      <c r="L2900" s="560"/>
      <c r="M2900" s="560"/>
    </row>
    <row r="2901" spans="3:13" s="338" customFormat="1">
      <c r="C2901" s="558"/>
      <c r="D2901" s="559"/>
      <c r="E2901" s="559"/>
      <c r="F2901" s="559"/>
      <c r="G2901" s="558"/>
      <c r="H2901" s="559"/>
      <c r="I2901" s="559"/>
      <c r="J2901" s="559"/>
      <c r="K2901" s="560"/>
      <c r="L2901" s="560"/>
      <c r="M2901" s="560"/>
    </row>
    <row r="2902" spans="3:13" s="338" customFormat="1">
      <c r="C2902" s="558"/>
      <c r="D2902" s="559"/>
      <c r="E2902" s="559"/>
      <c r="F2902" s="559"/>
      <c r="G2902" s="558"/>
      <c r="H2902" s="559"/>
      <c r="I2902" s="559"/>
      <c r="J2902" s="559"/>
      <c r="K2902" s="560"/>
      <c r="L2902" s="560"/>
      <c r="M2902" s="560"/>
    </row>
    <row r="2903" spans="3:13" s="338" customFormat="1">
      <c r="C2903" s="558"/>
      <c r="D2903" s="559"/>
      <c r="E2903" s="559"/>
      <c r="F2903" s="559"/>
      <c r="G2903" s="558"/>
      <c r="H2903" s="559"/>
      <c r="I2903" s="559"/>
      <c r="J2903" s="559"/>
      <c r="K2903" s="560"/>
      <c r="L2903" s="560"/>
      <c r="M2903" s="560"/>
    </row>
    <row r="2904" spans="3:13" s="338" customFormat="1">
      <c r="C2904" s="558"/>
      <c r="D2904" s="559"/>
      <c r="E2904" s="559"/>
      <c r="F2904" s="559"/>
      <c r="G2904" s="558"/>
      <c r="H2904" s="559"/>
      <c r="I2904" s="559"/>
      <c r="J2904" s="559"/>
      <c r="K2904" s="560"/>
      <c r="L2904" s="560"/>
      <c r="M2904" s="560"/>
    </row>
    <row r="2905" spans="3:13" s="338" customFormat="1">
      <c r="C2905" s="558"/>
      <c r="D2905" s="559"/>
      <c r="E2905" s="559"/>
      <c r="F2905" s="559"/>
      <c r="G2905" s="558"/>
      <c r="H2905" s="559"/>
      <c r="I2905" s="559"/>
      <c r="J2905" s="559"/>
      <c r="K2905" s="560"/>
      <c r="L2905" s="560"/>
      <c r="M2905" s="560"/>
    </row>
    <row r="2906" spans="3:13" s="338" customFormat="1">
      <c r="C2906" s="558"/>
      <c r="D2906" s="559"/>
      <c r="E2906" s="559"/>
      <c r="F2906" s="559"/>
      <c r="G2906" s="558"/>
      <c r="H2906" s="559"/>
      <c r="I2906" s="559"/>
      <c r="J2906" s="559"/>
      <c r="K2906" s="560"/>
      <c r="L2906" s="560"/>
      <c r="M2906" s="560"/>
    </row>
    <row r="2907" spans="3:13" s="338" customFormat="1">
      <c r="C2907" s="558"/>
      <c r="D2907" s="559"/>
      <c r="E2907" s="559"/>
      <c r="F2907" s="559"/>
      <c r="G2907" s="558"/>
      <c r="H2907" s="559"/>
      <c r="I2907" s="559"/>
      <c r="J2907" s="559"/>
      <c r="K2907" s="560"/>
      <c r="L2907" s="560"/>
      <c r="M2907" s="560"/>
    </row>
    <row r="2908" spans="3:13" s="338" customFormat="1">
      <c r="C2908" s="558"/>
      <c r="D2908" s="559"/>
      <c r="E2908" s="559"/>
      <c r="F2908" s="559"/>
      <c r="G2908" s="558"/>
      <c r="H2908" s="559"/>
      <c r="I2908" s="559"/>
      <c r="J2908" s="559"/>
      <c r="K2908" s="560"/>
      <c r="L2908" s="560"/>
      <c r="M2908" s="560"/>
    </row>
    <row r="2909" spans="3:13" s="338" customFormat="1">
      <c r="C2909" s="558"/>
      <c r="D2909" s="559"/>
      <c r="E2909" s="559"/>
      <c r="F2909" s="559"/>
      <c r="G2909" s="558"/>
      <c r="H2909" s="559"/>
      <c r="I2909" s="559"/>
      <c r="J2909" s="559"/>
      <c r="K2909" s="560"/>
      <c r="L2909" s="560"/>
      <c r="M2909" s="560"/>
    </row>
    <row r="2910" spans="3:13" s="338" customFormat="1">
      <c r="C2910" s="558"/>
      <c r="D2910" s="559"/>
      <c r="E2910" s="559"/>
      <c r="F2910" s="559"/>
      <c r="G2910" s="558"/>
      <c r="H2910" s="559"/>
      <c r="I2910" s="559"/>
      <c r="J2910" s="559"/>
      <c r="K2910" s="560"/>
      <c r="L2910" s="560"/>
      <c r="M2910" s="560"/>
    </row>
    <row r="2911" spans="3:13" s="338" customFormat="1">
      <c r="C2911" s="558"/>
      <c r="D2911" s="559"/>
      <c r="E2911" s="559"/>
      <c r="F2911" s="559"/>
      <c r="G2911" s="558"/>
      <c r="H2911" s="559"/>
      <c r="I2911" s="559"/>
      <c r="J2911" s="559"/>
      <c r="K2911" s="560"/>
      <c r="L2911" s="560"/>
      <c r="M2911" s="560"/>
    </row>
    <row r="2912" spans="3:13" s="338" customFormat="1">
      <c r="C2912" s="558"/>
      <c r="D2912" s="559"/>
      <c r="E2912" s="559"/>
      <c r="F2912" s="559"/>
      <c r="G2912" s="558"/>
      <c r="H2912" s="559"/>
      <c r="I2912" s="559"/>
      <c r="J2912" s="559"/>
      <c r="K2912" s="560"/>
      <c r="L2912" s="560"/>
      <c r="M2912" s="560"/>
    </row>
    <row r="2913" spans="3:13" s="338" customFormat="1">
      <c r="C2913" s="558"/>
      <c r="D2913" s="559"/>
      <c r="E2913" s="559"/>
      <c r="F2913" s="559"/>
      <c r="G2913" s="558"/>
      <c r="H2913" s="559"/>
      <c r="I2913" s="559"/>
      <c r="J2913" s="559"/>
      <c r="K2913" s="560"/>
      <c r="L2913" s="560"/>
      <c r="M2913" s="560"/>
    </row>
    <row r="2914" spans="3:13" s="338" customFormat="1">
      <c r="C2914" s="558"/>
      <c r="D2914" s="559"/>
      <c r="E2914" s="559"/>
      <c r="F2914" s="559"/>
      <c r="G2914" s="558"/>
      <c r="H2914" s="559"/>
      <c r="I2914" s="559"/>
      <c r="J2914" s="559"/>
      <c r="K2914" s="560"/>
      <c r="L2914" s="560"/>
      <c r="M2914" s="560"/>
    </row>
    <row r="2915" spans="3:13" s="338" customFormat="1">
      <c r="C2915" s="558"/>
      <c r="D2915" s="559"/>
      <c r="E2915" s="559"/>
      <c r="F2915" s="559"/>
      <c r="G2915" s="558"/>
      <c r="H2915" s="559"/>
      <c r="I2915" s="559"/>
      <c r="J2915" s="559"/>
      <c r="K2915" s="560"/>
      <c r="L2915" s="560"/>
      <c r="M2915" s="560"/>
    </row>
    <row r="2916" spans="3:13" s="338" customFormat="1">
      <c r="C2916" s="558"/>
      <c r="D2916" s="559"/>
      <c r="E2916" s="559"/>
      <c r="F2916" s="559"/>
      <c r="G2916" s="558"/>
      <c r="H2916" s="559"/>
      <c r="I2916" s="559"/>
      <c r="J2916" s="559"/>
      <c r="K2916" s="560"/>
      <c r="L2916" s="560"/>
      <c r="M2916" s="560"/>
    </row>
    <row r="2917" spans="3:13" s="338" customFormat="1">
      <c r="C2917" s="558"/>
      <c r="D2917" s="559"/>
      <c r="E2917" s="559"/>
      <c r="F2917" s="559"/>
      <c r="G2917" s="558"/>
      <c r="H2917" s="559"/>
      <c r="I2917" s="559"/>
      <c r="J2917" s="559"/>
      <c r="K2917" s="560"/>
      <c r="L2917" s="560"/>
      <c r="M2917" s="560"/>
    </row>
    <row r="2918" spans="3:13" s="338" customFormat="1">
      <c r="C2918" s="558"/>
      <c r="D2918" s="559"/>
      <c r="E2918" s="559"/>
      <c r="F2918" s="559"/>
      <c r="G2918" s="558"/>
      <c r="H2918" s="559"/>
      <c r="I2918" s="559"/>
      <c r="J2918" s="559"/>
      <c r="K2918" s="560"/>
      <c r="L2918" s="560"/>
      <c r="M2918" s="560"/>
    </row>
    <row r="2919" spans="3:13" s="338" customFormat="1">
      <c r="C2919" s="558"/>
      <c r="D2919" s="559"/>
      <c r="E2919" s="559"/>
      <c r="F2919" s="559"/>
      <c r="G2919" s="558"/>
      <c r="H2919" s="559"/>
      <c r="I2919" s="559"/>
      <c r="J2919" s="559"/>
      <c r="K2919" s="560"/>
      <c r="L2919" s="560"/>
      <c r="M2919" s="560"/>
    </row>
    <row r="2920" spans="3:13" s="338" customFormat="1">
      <c r="C2920" s="558"/>
      <c r="D2920" s="559"/>
      <c r="E2920" s="559"/>
      <c r="F2920" s="559"/>
      <c r="G2920" s="558"/>
      <c r="H2920" s="559"/>
      <c r="I2920" s="559"/>
      <c r="J2920" s="559"/>
      <c r="K2920" s="560"/>
      <c r="L2920" s="560"/>
      <c r="M2920" s="560"/>
    </row>
    <row r="2921" spans="3:13" s="338" customFormat="1">
      <c r="C2921" s="558"/>
      <c r="D2921" s="559"/>
      <c r="E2921" s="559"/>
      <c r="F2921" s="559"/>
      <c r="G2921" s="558"/>
      <c r="H2921" s="559"/>
      <c r="I2921" s="559"/>
      <c r="J2921" s="559"/>
      <c r="K2921" s="560"/>
      <c r="L2921" s="560"/>
      <c r="M2921" s="560"/>
    </row>
    <row r="2922" spans="3:13" s="338" customFormat="1">
      <c r="C2922" s="558"/>
      <c r="D2922" s="559"/>
      <c r="E2922" s="559"/>
      <c r="F2922" s="559"/>
      <c r="G2922" s="558"/>
      <c r="H2922" s="559"/>
      <c r="I2922" s="559"/>
      <c r="J2922" s="559"/>
      <c r="K2922" s="560"/>
      <c r="L2922" s="560"/>
      <c r="M2922" s="560"/>
    </row>
    <row r="2923" spans="3:13" s="338" customFormat="1">
      <c r="C2923" s="558"/>
      <c r="D2923" s="559"/>
      <c r="E2923" s="559"/>
      <c r="F2923" s="559"/>
      <c r="G2923" s="558"/>
      <c r="H2923" s="559"/>
      <c r="I2923" s="559"/>
      <c r="J2923" s="559"/>
      <c r="K2923" s="560"/>
      <c r="L2923" s="560"/>
      <c r="M2923" s="560"/>
    </row>
    <row r="2924" spans="3:13" s="338" customFormat="1">
      <c r="C2924" s="558"/>
      <c r="D2924" s="559"/>
      <c r="E2924" s="559"/>
      <c r="F2924" s="559"/>
      <c r="G2924" s="558"/>
      <c r="H2924" s="559"/>
      <c r="I2924" s="559"/>
      <c r="J2924" s="559"/>
      <c r="K2924" s="560"/>
      <c r="L2924" s="560"/>
      <c r="M2924" s="560"/>
    </row>
    <row r="2925" spans="3:13" s="338" customFormat="1">
      <c r="C2925" s="558"/>
      <c r="D2925" s="559"/>
      <c r="E2925" s="559"/>
      <c r="F2925" s="559"/>
      <c r="G2925" s="558"/>
      <c r="H2925" s="559"/>
      <c r="I2925" s="559"/>
      <c r="J2925" s="559"/>
      <c r="K2925" s="560"/>
      <c r="L2925" s="560"/>
      <c r="M2925" s="560"/>
    </row>
    <row r="2926" spans="3:13" s="338" customFormat="1">
      <c r="C2926" s="558"/>
      <c r="D2926" s="559"/>
      <c r="E2926" s="559"/>
      <c r="F2926" s="559"/>
      <c r="G2926" s="558"/>
      <c r="H2926" s="559"/>
      <c r="I2926" s="559"/>
      <c r="J2926" s="559"/>
      <c r="K2926" s="560"/>
      <c r="L2926" s="560"/>
      <c r="M2926" s="560"/>
    </row>
    <row r="2927" spans="3:13" s="338" customFormat="1">
      <c r="C2927" s="558"/>
      <c r="D2927" s="559"/>
      <c r="E2927" s="559"/>
      <c r="F2927" s="559"/>
      <c r="G2927" s="558"/>
      <c r="H2927" s="559"/>
      <c r="I2927" s="559"/>
      <c r="J2927" s="559"/>
      <c r="K2927" s="560"/>
      <c r="L2927" s="560"/>
      <c r="M2927" s="560"/>
    </row>
    <row r="2928" spans="3:13" s="338" customFormat="1">
      <c r="C2928" s="558"/>
      <c r="D2928" s="559"/>
      <c r="E2928" s="559"/>
      <c r="F2928" s="559"/>
      <c r="G2928" s="558"/>
      <c r="H2928" s="559"/>
      <c r="I2928" s="559"/>
      <c r="J2928" s="559"/>
      <c r="K2928" s="560"/>
      <c r="L2928" s="560"/>
      <c r="M2928" s="560"/>
    </row>
    <row r="2929" spans="3:13" s="338" customFormat="1">
      <c r="C2929" s="558"/>
      <c r="D2929" s="559"/>
      <c r="E2929" s="559"/>
      <c r="F2929" s="559"/>
      <c r="G2929" s="558"/>
      <c r="H2929" s="559"/>
      <c r="I2929" s="559"/>
      <c r="J2929" s="559"/>
      <c r="K2929" s="560"/>
      <c r="L2929" s="560"/>
      <c r="M2929" s="560"/>
    </row>
    <row r="2930" spans="3:13" s="338" customFormat="1">
      <c r="C2930" s="558"/>
      <c r="D2930" s="559"/>
      <c r="E2930" s="559"/>
      <c r="F2930" s="559"/>
      <c r="G2930" s="558"/>
      <c r="H2930" s="559"/>
      <c r="I2930" s="559"/>
      <c r="J2930" s="559"/>
      <c r="K2930" s="560"/>
      <c r="L2930" s="560"/>
      <c r="M2930" s="560"/>
    </row>
    <row r="2931" spans="3:13" s="338" customFormat="1">
      <c r="C2931" s="558"/>
      <c r="D2931" s="559"/>
      <c r="E2931" s="559"/>
      <c r="F2931" s="559"/>
      <c r="G2931" s="558"/>
      <c r="H2931" s="559"/>
      <c r="I2931" s="559"/>
      <c r="J2931" s="559"/>
      <c r="K2931" s="560"/>
      <c r="L2931" s="560"/>
      <c r="M2931" s="560"/>
    </row>
    <row r="2932" spans="3:13" s="338" customFormat="1">
      <c r="C2932" s="558"/>
      <c r="D2932" s="559"/>
      <c r="E2932" s="559"/>
      <c r="F2932" s="559"/>
      <c r="G2932" s="558"/>
      <c r="H2932" s="559"/>
      <c r="I2932" s="559"/>
      <c r="J2932" s="559"/>
      <c r="K2932" s="560"/>
      <c r="L2932" s="560"/>
      <c r="M2932" s="560"/>
    </row>
    <row r="2933" spans="3:13" s="338" customFormat="1">
      <c r="C2933" s="558"/>
      <c r="D2933" s="559"/>
      <c r="E2933" s="559"/>
      <c r="F2933" s="559"/>
      <c r="G2933" s="558"/>
      <c r="H2933" s="559"/>
      <c r="I2933" s="559"/>
      <c r="J2933" s="559"/>
      <c r="K2933" s="560"/>
      <c r="L2933" s="560"/>
      <c r="M2933" s="560"/>
    </row>
    <row r="2934" spans="3:13" s="338" customFormat="1">
      <c r="C2934" s="558"/>
      <c r="D2934" s="559"/>
      <c r="E2934" s="559"/>
      <c r="F2934" s="559"/>
      <c r="G2934" s="558"/>
      <c r="H2934" s="559"/>
      <c r="I2934" s="559"/>
      <c r="J2934" s="559"/>
      <c r="K2934" s="560"/>
      <c r="L2934" s="560"/>
      <c r="M2934" s="560"/>
    </row>
    <row r="2935" spans="3:13" s="338" customFormat="1">
      <c r="C2935" s="558"/>
      <c r="D2935" s="559"/>
      <c r="E2935" s="559"/>
      <c r="F2935" s="559"/>
      <c r="G2935" s="558"/>
      <c r="H2935" s="559"/>
      <c r="I2935" s="559"/>
      <c r="J2935" s="559"/>
      <c r="K2935" s="560"/>
      <c r="L2935" s="560"/>
      <c r="M2935" s="560"/>
    </row>
    <row r="2936" spans="3:13" s="338" customFormat="1">
      <c r="C2936" s="558"/>
      <c r="D2936" s="559"/>
      <c r="E2936" s="559"/>
      <c r="F2936" s="559"/>
      <c r="G2936" s="558"/>
      <c r="H2936" s="559"/>
      <c r="I2936" s="559"/>
      <c r="J2936" s="559"/>
      <c r="K2936" s="560"/>
      <c r="L2936" s="560"/>
      <c r="M2936" s="560"/>
    </row>
    <row r="2937" spans="3:13" s="338" customFormat="1">
      <c r="C2937" s="558"/>
      <c r="D2937" s="559"/>
      <c r="E2937" s="559"/>
      <c r="F2937" s="559"/>
      <c r="G2937" s="558"/>
      <c r="H2937" s="559"/>
      <c r="I2937" s="559"/>
      <c r="J2937" s="559"/>
      <c r="K2937" s="560"/>
      <c r="L2937" s="560"/>
      <c r="M2937" s="560"/>
    </row>
    <row r="2938" spans="3:13" s="338" customFormat="1">
      <c r="C2938" s="558"/>
      <c r="D2938" s="559"/>
      <c r="E2938" s="559"/>
      <c r="F2938" s="559"/>
      <c r="G2938" s="558"/>
      <c r="H2938" s="559"/>
      <c r="I2938" s="559"/>
      <c r="J2938" s="559"/>
      <c r="K2938" s="560"/>
      <c r="L2938" s="560"/>
      <c r="M2938" s="560"/>
    </row>
    <row r="2939" spans="3:13" s="338" customFormat="1">
      <c r="C2939" s="558"/>
      <c r="D2939" s="559"/>
      <c r="E2939" s="559"/>
      <c r="F2939" s="559"/>
      <c r="G2939" s="558"/>
      <c r="H2939" s="559"/>
      <c r="I2939" s="559"/>
      <c r="J2939" s="559"/>
      <c r="K2939" s="560"/>
      <c r="L2939" s="560"/>
      <c r="M2939" s="560"/>
    </row>
    <row r="2940" spans="3:13" s="338" customFormat="1">
      <c r="C2940" s="558"/>
      <c r="D2940" s="559"/>
      <c r="E2940" s="559"/>
      <c r="F2940" s="559"/>
      <c r="G2940" s="558"/>
      <c r="H2940" s="559"/>
      <c r="I2940" s="559"/>
      <c r="J2940" s="559"/>
      <c r="K2940" s="560"/>
      <c r="L2940" s="560"/>
      <c r="M2940" s="560"/>
    </row>
    <row r="2941" spans="3:13" s="338" customFormat="1">
      <c r="C2941" s="558"/>
      <c r="D2941" s="559"/>
      <c r="E2941" s="559"/>
      <c r="F2941" s="559"/>
      <c r="G2941" s="558"/>
      <c r="H2941" s="559"/>
      <c r="I2941" s="559"/>
      <c r="J2941" s="559"/>
      <c r="K2941" s="560"/>
      <c r="L2941" s="560"/>
      <c r="M2941" s="560"/>
    </row>
    <row r="2942" spans="3:13" s="338" customFormat="1">
      <c r="C2942" s="558"/>
      <c r="D2942" s="559"/>
      <c r="E2942" s="559"/>
      <c r="F2942" s="559"/>
      <c r="G2942" s="558"/>
      <c r="H2942" s="559"/>
      <c r="I2942" s="559"/>
      <c r="J2942" s="559"/>
      <c r="K2942" s="560"/>
      <c r="L2942" s="560"/>
      <c r="M2942" s="560"/>
    </row>
    <row r="2943" spans="3:13" s="338" customFormat="1">
      <c r="C2943" s="558"/>
      <c r="D2943" s="559"/>
      <c r="E2943" s="559"/>
      <c r="F2943" s="559"/>
      <c r="G2943" s="558"/>
      <c r="H2943" s="559"/>
      <c r="I2943" s="559"/>
      <c r="J2943" s="559"/>
      <c r="K2943" s="560"/>
      <c r="L2943" s="560"/>
      <c r="M2943" s="560"/>
    </row>
    <row r="2944" spans="3:13" s="338" customFormat="1">
      <c r="C2944" s="558"/>
      <c r="D2944" s="559"/>
      <c r="E2944" s="559"/>
      <c r="F2944" s="559"/>
      <c r="G2944" s="558"/>
      <c r="H2944" s="559"/>
      <c r="I2944" s="559"/>
      <c r="J2944" s="559"/>
      <c r="K2944" s="560"/>
      <c r="L2944" s="560"/>
      <c r="M2944" s="560"/>
    </row>
    <row r="2945" spans="3:13" s="338" customFormat="1">
      <c r="C2945" s="558"/>
      <c r="D2945" s="559"/>
      <c r="E2945" s="559"/>
      <c r="F2945" s="559"/>
      <c r="G2945" s="558"/>
      <c r="H2945" s="559"/>
      <c r="I2945" s="559"/>
      <c r="J2945" s="559"/>
      <c r="K2945" s="560"/>
      <c r="L2945" s="560"/>
      <c r="M2945" s="560"/>
    </row>
    <row r="2946" spans="3:13" s="338" customFormat="1">
      <c r="C2946" s="558"/>
      <c r="D2946" s="559"/>
      <c r="E2946" s="559"/>
      <c r="F2946" s="559"/>
      <c r="G2946" s="558"/>
      <c r="H2946" s="559"/>
      <c r="I2946" s="559"/>
      <c r="J2946" s="559"/>
      <c r="K2946" s="560"/>
      <c r="L2946" s="560"/>
      <c r="M2946" s="560"/>
    </row>
    <row r="2947" spans="3:13" s="338" customFormat="1">
      <c r="C2947" s="558"/>
      <c r="D2947" s="559"/>
      <c r="E2947" s="559"/>
      <c r="F2947" s="559"/>
      <c r="G2947" s="558"/>
      <c r="H2947" s="559"/>
      <c r="I2947" s="559"/>
      <c r="J2947" s="559"/>
      <c r="K2947" s="560"/>
      <c r="L2947" s="560"/>
      <c r="M2947" s="560"/>
    </row>
    <row r="2948" spans="3:13" s="338" customFormat="1">
      <c r="C2948" s="558"/>
      <c r="D2948" s="559"/>
      <c r="E2948" s="559"/>
      <c r="F2948" s="559"/>
      <c r="G2948" s="558"/>
      <c r="H2948" s="559"/>
      <c r="I2948" s="559"/>
      <c r="J2948" s="559"/>
      <c r="K2948" s="560"/>
      <c r="L2948" s="560"/>
      <c r="M2948" s="560"/>
    </row>
    <row r="2949" spans="3:13" s="338" customFormat="1">
      <c r="C2949" s="558"/>
      <c r="D2949" s="559"/>
      <c r="E2949" s="559"/>
      <c r="F2949" s="559"/>
      <c r="G2949" s="558"/>
      <c r="H2949" s="559"/>
      <c r="I2949" s="559"/>
      <c r="J2949" s="559"/>
      <c r="K2949" s="560"/>
      <c r="L2949" s="560"/>
      <c r="M2949" s="560"/>
    </row>
    <row r="2950" spans="3:13" s="338" customFormat="1">
      <c r="C2950" s="558"/>
      <c r="D2950" s="559"/>
      <c r="E2950" s="559"/>
      <c r="F2950" s="559"/>
      <c r="G2950" s="558"/>
      <c r="H2950" s="559"/>
      <c r="I2950" s="559"/>
      <c r="J2950" s="559"/>
      <c r="K2950" s="560"/>
      <c r="L2950" s="560"/>
      <c r="M2950" s="560"/>
    </row>
    <row r="2951" spans="3:13" s="338" customFormat="1">
      <c r="C2951" s="558"/>
      <c r="D2951" s="559"/>
      <c r="E2951" s="559"/>
      <c r="F2951" s="559"/>
      <c r="G2951" s="558"/>
      <c r="H2951" s="559"/>
      <c r="I2951" s="559"/>
      <c r="J2951" s="559"/>
      <c r="K2951" s="560"/>
      <c r="L2951" s="560"/>
      <c r="M2951" s="560"/>
    </row>
    <row r="2952" spans="3:13" s="338" customFormat="1">
      <c r="C2952" s="558"/>
      <c r="D2952" s="559"/>
      <c r="E2952" s="559"/>
      <c r="F2952" s="559"/>
      <c r="G2952" s="558"/>
      <c r="H2952" s="559"/>
      <c r="I2952" s="559"/>
      <c r="J2952" s="559"/>
      <c r="K2952" s="560"/>
      <c r="L2952" s="560"/>
      <c r="M2952" s="560"/>
    </row>
    <row r="2953" spans="3:13" s="338" customFormat="1">
      <c r="C2953" s="558"/>
      <c r="D2953" s="559"/>
      <c r="E2953" s="559"/>
      <c r="F2953" s="559"/>
      <c r="G2953" s="558"/>
      <c r="H2953" s="559"/>
      <c r="I2953" s="559"/>
      <c r="J2953" s="559"/>
      <c r="K2953" s="560"/>
      <c r="L2953" s="560"/>
      <c r="M2953" s="560"/>
    </row>
    <row r="2954" spans="3:13" s="338" customFormat="1">
      <c r="C2954" s="558"/>
      <c r="D2954" s="559"/>
      <c r="E2954" s="559"/>
      <c r="F2954" s="559"/>
      <c r="G2954" s="558"/>
      <c r="H2954" s="559"/>
      <c r="I2954" s="559"/>
      <c r="J2954" s="559"/>
      <c r="K2954" s="560"/>
      <c r="L2954" s="560"/>
      <c r="M2954" s="560"/>
    </row>
    <row r="2955" spans="3:13" s="338" customFormat="1">
      <c r="C2955" s="558"/>
      <c r="D2955" s="559"/>
      <c r="E2955" s="559"/>
      <c r="F2955" s="559"/>
      <c r="G2955" s="558"/>
      <c r="H2955" s="559"/>
      <c r="I2955" s="559"/>
      <c r="J2955" s="559"/>
      <c r="K2955" s="560"/>
      <c r="L2955" s="560"/>
      <c r="M2955" s="560"/>
    </row>
    <row r="2956" spans="3:13" s="338" customFormat="1">
      <c r="C2956" s="558"/>
      <c r="D2956" s="559"/>
      <c r="E2956" s="559"/>
      <c r="F2956" s="559"/>
      <c r="G2956" s="558"/>
      <c r="H2956" s="559"/>
      <c r="I2956" s="559"/>
      <c r="J2956" s="559"/>
      <c r="K2956" s="560"/>
      <c r="L2956" s="560"/>
      <c r="M2956" s="560"/>
    </row>
    <row r="2957" spans="3:13" s="338" customFormat="1">
      <c r="C2957" s="558"/>
      <c r="D2957" s="559"/>
      <c r="E2957" s="559"/>
      <c r="F2957" s="559"/>
      <c r="G2957" s="558"/>
      <c r="H2957" s="559"/>
      <c r="I2957" s="559"/>
      <c r="J2957" s="559"/>
      <c r="K2957" s="560"/>
      <c r="L2957" s="560"/>
      <c r="M2957" s="560"/>
    </row>
    <row r="2958" spans="3:13" s="338" customFormat="1">
      <c r="C2958" s="558"/>
      <c r="D2958" s="559"/>
      <c r="E2958" s="559"/>
      <c r="F2958" s="559"/>
      <c r="G2958" s="558"/>
      <c r="H2958" s="559"/>
      <c r="I2958" s="559"/>
      <c r="J2958" s="559"/>
      <c r="K2958" s="560"/>
      <c r="L2958" s="560"/>
      <c r="M2958" s="560"/>
    </row>
    <row r="2959" spans="3:13" s="338" customFormat="1">
      <c r="C2959" s="558"/>
      <c r="D2959" s="559"/>
      <c r="E2959" s="559"/>
      <c r="F2959" s="559"/>
      <c r="G2959" s="558"/>
      <c r="H2959" s="559"/>
      <c r="I2959" s="559"/>
      <c r="J2959" s="559"/>
      <c r="K2959" s="560"/>
      <c r="L2959" s="560"/>
      <c r="M2959" s="560"/>
    </row>
    <row r="2960" spans="3:13" s="338" customFormat="1">
      <c r="C2960" s="558"/>
      <c r="D2960" s="559"/>
      <c r="E2960" s="559"/>
      <c r="F2960" s="559"/>
      <c r="G2960" s="558"/>
      <c r="H2960" s="559"/>
      <c r="I2960" s="559"/>
      <c r="J2960" s="559"/>
      <c r="K2960" s="560"/>
      <c r="L2960" s="560"/>
      <c r="M2960" s="560"/>
    </row>
    <row r="2961" spans="3:13" s="338" customFormat="1">
      <c r="C2961" s="558"/>
      <c r="D2961" s="559"/>
      <c r="E2961" s="559"/>
      <c r="F2961" s="559"/>
      <c r="G2961" s="558"/>
      <c r="H2961" s="559"/>
      <c r="I2961" s="559"/>
      <c r="J2961" s="559"/>
      <c r="K2961" s="560"/>
      <c r="L2961" s="560"/>
      <c r="M2961" s="560"/>
    </row>
    <row r="2962" spans="3:13" s="338" customFormat="1">
      <c r="C2962" s="558"/>
      <c r="D2962" s="559"/>
      <c r="E2962" s="559"/>
      <c r="F2962" s="559"/>
      <c r="G2962" s="558"/>
      <c r="H2962" s="559"/>
      <c r="I2962" s="559"/>
      <c r="J2962" s="559"/>
      <c r="K2962" s="560"/>
      <c r="L2962" s="560"/>
      <c r="M2962" s="560"/>
    </row>
    <row r="2963" spans="3:13" s="338" customFormat="1">
      <c r="C2963" s="558"/>
      <c r="D2963" s="559"/>
      <c r="E2963" s="559"/>
      <c r="F2963" s="559"/>
      <c r="G2963" s="558"/>
      <c r="H2963" s="559"/>
      <c r="I2963" s="559"/>
      <c r="J2963" s="559"/>
      <c r="K2963" s="560"/>
      <c r="L2963" s="560"/>
      <c r="M2963" s="560"/>
    </row>
    <row r="2964" spans="3:13" s="338" customFormat="1">
      <c r="C2964" s="558"/>
      <c r="D2964" s="559"/>
      <c r="E2964" s="559"/>
      <c r="F2964" s="559"/>
      <c r="G2964" s="558"/>
      <c r="H2964" s="559"/>
      <c r="I2964" s="559"/>
      <c r="J2964" s="559"/>
      <c r="K2964" s="560"/>
      <c r="L2964" s="560"/>
      <c r="M2964" s="560"/>
    </row>
    <row r="2965" spans="3:13" s="338" customFormat="1">
      <c r="C2965" s="558"/>
      <c r="D2965" s="559"/>
      <c r="E2965" s="559"/>
      <c r="F2965" s="559"/>
      <c r="G2965" s="558"/>
      <c r="H2965" s="559"/>
      <c r="I2965" s="559"/>
      <c r="J2965" s="559"/>
      <c r="K2965" s="560"/>
      <c r="L2965" s="560"/>
      <c r="M2965" s="560"/>
    </row>
    <row r="2966" spans="3:13" s="338" customFormat="1">
      <c r="C2966" s="558"/>
      <c r="D2966" s="559"/>
      <c r="E2966" s="559"/>
      <c r="F2966" s="559"/>
      <c r="G2966" s="558"/>
      <c r="H2966" s="559"/>
      <c r="I2966" s="559"/>
      <c r="J2966" s="559"/>
      <c r="K2966" s="560"/>
      <c r="L2966" s="560"/>
      <c r="M2966" s="560"/>
    </row>
    <row r="2967" spans="3:13" s="338" customFormat="1">
      <c r="C2967" s="558"/>
      <c r="D2967" s="559"/>
      <c r="E2967" s="559"/>
      <c r="F2967" s="559"/>
      <c r="G2967" s="558"/>
      <c r="H2967" s="559"/>
      <c r="I2967" s="559"/>
      <c r="J2967" s="559"/>
      <c r="K2967" s="560"/>
      <c r="L2967" s="560"/>
      <c r="M2967" s="560"/>
    </row>
    <row r="2968" spans="3:13" s="338" customFormat="1">
      <c r="C2968" s="558"/>
      <c r="D2968" s="559"/>
      <c r="E2968" s="559"/>
      <c r="F2968" s="559"/>
      <c r="G2968" s="558"/>
      <c r="H2968" s="559"/>
      <c r="I2968" s="559"/>
      <c r="J2968" s="559"/>
      <c r="K2968" s="560"/>
      <c r="L2968" s="560"/>
      <c r="M2968" s="560"/>
    </row>
    <row r="2969" spans="3:13" s="338" customFormat="1">
      <c r="C2969" s="558"/>
      <c r="D2969" s="559"/>
      <c r="E2969" s="559"/>
      <c r="F2969" s="559"/>
      <c r="G2969" s="558"/>
      <c r="H2969" s="559"/>
      <c r="I2969" s="559"/>
      <c r="J2969" s="559"/>
      <c r="K2969" s="560"/>
      <c r="L2969" s="560"/>
      <c r="M2969" s="560"/>
    </row>
    <row r="2970" spans="3:13" s="338" customFormat="1">
      <c r="C2970" s="558"/>
      <c r="D2970" s="559"/>
      <c r="E2970" s="559"/>
      <c r="F2970" s="559"/>
      <c r="G2970" s="558"/>
      <c r="H2970" s="559"/>
      <c r="I2970" s="559"/>
      <c r="J2970" s="559"/>
      <c r="K2970" s="560"/>
      <c r="L2970" s="560"/>
      <c r="M2970" s="560"/>
    </row>
    <row r="2971" spans="3:13" s="338" customFormat="1">
      <c r="C2971" s="558"/>
      <c r="D2971" s="559"/>
      <c r="E2971" s="559"/>
      <c r="F2971" s="559"/>
      <c r="G2971" s="558"/>
      <c r="H2971" s="559"/>
      <c r="I2971" s="559"/>
      <c r="J2971" s="559"/>
      <c r="K2971" s="560"/>
      <c r="L2971" s="560"/>
      <c r="M2971" s="560"/>
    </row>
    <row r="2972" spans="3:13" s="338" customFormat="1">
      <c r="C2972" s="558"/>
      <c r="D2972" s="559"/>
      <c r="E2972" s="559"/>
      <c r="F2972" s="559"/>
      <c r="G2972" s="558"/>
      <c r="H2972" s="559"/>
      <c r="I2972" s="559"/>
      <c r="J2972" s="559"/>
      <c r="K2972" s="560"/>
      <c r="L2972" s="560"/>
      <c r="M2972" s="560"/>
    </row>
    <row r="2973" spans="3:13" s="338" customFormat="1">
      <c r="C2973" s="558"/>
      <c r="D2973" s="559"/>
      <c r="E2973" s="559"/>
      <c r="F2973" s="559"/>
      <c r="G2973" s="558"/>
      <c r="H2973" s="559"/>
      <c r="I2973" s="559"/>
      <c r="J2973" s="559"/>
      <c r="K2973" s="560"/>
      <c r="L2973" s="560"/>
      <c r="M2973" s="560"/>
    </row>
    <row r="2974" spans="3:13" s="338" customFormat="1">
      <c r="C2974" s="558"/>
      <c r="D2974" s="559"/>
      <c r="E2974" s="559"/>
      <c r="F2974" s="559"/>
      <c r="G2974" s="558"/>
      <c r="H2974" s="559"/>
      <c r="I2974" s="559"/>
      <c r="J2974" s="559"/>
      <c r="K2974" s="560"/>
      <c r="L2974" s="560"/>
      <c r="M2974" s="560"/>
    </row>
    <row r="2975" spans="3:13" s="338" customFormat="1">
      <c r="C2975" s="558"/>
      <c r="D2975" s="559"/>
      <c r="E2975" s="559"/>
      <c r="F2975" s="559"/>
      <c r="G2975" s="558"/>
      <c r="H2975" s="559"/>
      <c r="I2975" s="559"/>
      <c r="J2975" s="559"/>
      <c r="K2975" s="560"/>
      <c r="L2975" s="560"/>
      <c r="M2975" s="560"/>
    </row>
    <row r="2976" spans="3:13" s="338" customFormat="1">
      <c r="C2976" s="558"/>
      <c r="D2976" s="559"/>
      <c r="E2976" s="559"/>
      <c r="F2976" s="559"/>
      <c r="G2976" s="558"/>
      <c r="H2976" s="559"/>
      <c r="I2976" s="559"/>
      <c r="J2976" s="559"/>
      <c r="K2976" s="560"/>
      <c r="L2976" s="560"/>
      <c r="M2976" s="560"/>
    </row>
    <row r="2977" spans="3:13" s="338" customFormat="1">
      <c r="C2977" s="558"/>
      <c r="D2977" s="559"/>
      <c r="E2977" s="559"/>
      <c r="F2977" s="559"/>
      <c r="G2977" s="558"/>
      <c r="H2977" s="559"/>
      <c r="I2977" s="559"/>
      <c r="J2977" s="559"/>
      <c r="K2977" s="560"/>
      <c r="L2977" s="560"/>
      <c r="M2977" s="560"/>
    </row>
    <row r="2978" spans="3:13" s="338" customFormat="1">
      <c r="C2978" s="558"/>
      <c r="D2978" s="559"/>
      <c r="E2978" s="559"/>
      <c r="F2978" s="559"/>
      <c r="G2978" s="558"/>
      <c r="H2978" s="559"/>
      <c r="I2978" s="559"/>
      <c r="J2978" s="559"/>
      <c r="K2978" s="560"/>
      <c r="L2978" s="560"/>
      <c r="M2978" s="560"/>
    </row>
    <row r="2979" spans="3:13" s="338" customFormat="1">
      <c r="C2979" s="558"/>
      <c r="D2979" s="559"/>
      <c r="E2979" s="559"/>
      <c r="F2979" s="559"/>
      <c r="G2979" s="558"/>
      <c r="H2979" s="559"/>
      <c r="I2979" s="559"/>
      <c r="J2979" s="559"/>
      <c r="K2979" s="560"/>
      <c r="L2979" s="560"/>
      <c r="M2979" s="560"/>
    </row>
    <row r="2980" spans="3:13" s="338" customFormat="1">
      <c r="C2980" s="558"/>
      <c r="D2980" s="559"/>
      <c r="E2980" s="559"/>
      <c r="F2980" s="559"/>
      <c r="G2980" s="558"/>
      <c r="H2980" s="559"/>
      <c r="I2980" s="559"/>
      <c r="J2980" s="559"/>
      <c r="K2980" s="560"/>
      <c r="L2980" s="560"/>
      <c r="M2980" s="560"/>
    </row>
    <row r="2981" spans="3:13" s="338" customFormat="1">
      <c r="C2981" s="558"/>
      <c r="D2981" s="559"/>
      <c r="E2981" s="559"/>
      <c r="F2981" s="559"/>
      <c r="G2981" s="558"/>
      <c r="H2981" s="559"/>
      <c r="I2981" s="559"/>
      <c r="J2981" s="559"/>
      <c r="K2981" s="560"/>
      <c r="L2981" s="560"/>
      <c r="M2981" s="560"/>
    </row>
    <row r="2982" spans="3:13" s="338" customFormat="1">
      <c r="C2982" s="558"/>
      <c r="D2982" s="559"/>
      <c r="E2982" s="559"/>
      <c r="F2982" s="559"/>
      <c r="G2982" s="558"/>
      <c r="H2982" s="559"/>
      <c r="I2982" s="559"/>
      <c r="J2982" s="559"/>
      <c r="K2982" s="560"/>
      <c r="L2982" s="560"/>
      <c r="M2982" s="560"/>
    </row>
    <row r="2983" spans="3:13" s="338" customFormat="1">
      <c r="C2983" s="558"/>
      <c r="D2983" s="559"/>
      <c r="E2983" s="559"/>
      <c r="F2983" s="559"/>
      <c r="G2983" s="558"/>
      <c r="H2983" s="559"/>
      <c r="I2983" s="559"/>
      <c r="J2983" s="559"/>
      <c r="K2983" s="560"/>
      <c r="L2983" s="560"/>
      <c r="M2983" s="560"/>
    </row>
    <row r="2984" spans="3:13" s="338" customFormat="1">
      <c r="C2984" s="558"/>
      <c r="D2984" s="559"/>
      <c r="E2984" s="559"/>
      <c r="F2984" s="559"/>
      <c r="G2984" s="558"/>
      <c r="H2984" s="559"/>
      <c r="I2984" s="559"/>
      <c r="J2984" s="559"/>
      <c r="K2984" s="560"/>
      <c r="L2984" s="560"/>
      <c r="M2984" s="560"/>
    </row>
    <row r="2985" spans="3:13" s="338" customFormat="1">
      <c r="C2985" s="558"/>
      <c r="D2985" s="559"/>
      <c r="E2985" s="559"/>
      <c r="F2985" s="559"/>
      <c r="G2985" s="558"/>
      <c r="H2985" s="559"/>
      <c r="I2985" s="559"/>
      <c r="J2985" s="559"/>
      <c r="K2985" s="560"/>
      <c r="L2985" s="560"/>
      <c r="M2985" s="560"/>
    </row>
    <row r="2986" spans="3:13" s="338" customFormat="1">
      <c r="C2986" s="558"/>
      <c r="D2986" s="559"/>
      <c r="E2986" s="559"/>
      <c r="F2986" s="559"/>
      <c r="G2986" s="558"/>
      <c r="H2986" s="559"/>
      <c r="I2986" s="559"/>
      <c r="J2986" s="559"/>
      <c r="K2986" s="560"/>
      <c r="L2986" s="560"/>
      <c r="M2986" s="560"/>
    </row>
    <row r="2987" spans="3:13" s="338" customFormat="1">
      <c r="C2987" s="558"/>
      <c r="D2987" s="559"/>
      <c r="E2987" s="559"/>
      <c r="F2987" s="559"/>
      <c r="G2987" s="558"/>
      <c r="H2987" s="559"/>
      <c r="I2987" s="559"/>
      <c r="J2987" s="559"/>
      <c r="K2987" s="560"/>
      <c r="L2987" s="560"/>
      <c r="M2987" s="560"/>
    </row>
    <row r="2988" spans="3:13" s="338" customFormat="1">
      <c r="C2988" s="558"/>
      <c r="D2988" s="559"/>
      <c r="E2988" s="559"/>
      <c r="F2988" s="559"/>
      <c r="G2988" s="558"/>
      <c r="H2988" s="559"/>
      <c r="I2988" s="559"/>
      <c r="J2988" s="559"/>
      <c r="K2988" s="560"/>
      <c r="L2988" s="560"/>
      <c r="M2988" s="560"/>
    </row>
    <row r="2989" spans="3:13" s="338" customFormat="1">
      <c r="C2989" s="558"/>
      <c r="D2989" s="559"/>
      <c r="E2989" s="559"/>
      <c r="F2989" s="559"/>
      <c r="G2989" s="558"/>
      <c r="H2989" s="559"/>
      <c r="I2989" s="559"/>
      <c r="J2989" s="559"/>
      <c r="K2989" s="560"/>
      <c r="L2989" s="560"/>
      <c r="M2989" s="560"/>
    </row>
    <row r="2990" spans="3:13" s="338" customFormat="1">
      <c r="C2990" s="558"/>
      <c r="D2990" s="559"/>
      <c r="E2990" s="559"/>
      <c r="F2990" s="559"/>
      <c r="G2990" s="558"/>
      <c r="H2990" s="559"/>
      <c r="I2990" s="559"/>
      <c r="J2990" s="559"/>
      <c r="K2990" s="560"/>
      <c r="L2990" s="560"/>
      <c r="M2990" s="560"/>
    </row>
    <row r="2991" spans="3:13" s="338" customFormat="1">
      <c r="C2991" s="558"/>
      <c r="D2991" s="559"/>
      <c r="E2991" s="559"/>
      <c r="F2991" s="559"/>
      <c r="G2991" s="558"/>
      <c r="H2991" s="559"/>
      <c r="I2991" s="559"/>
      <c r="J2991" s="559"/>
      <c r="K2991" s="560"/>
      <c r="L2991" s="560"/>
      <c r="M2991" s="560"/>
    </row>
    <row r="2992" spans="3:13" s="338" customFormat="1">
      <c r="C2992" s="558"/>
      <c r="D2992" s="559"/>
      <c r="E2992" s="559"/>
      <c r="F2992" s="559"/>
      <c r="G2992" s="558"/>
      <c r="H2992" s="559"/>
      <c r="I2992" s="559"/>
      <c r="J2992" s="559"/>
      <c r="K2992" s="560"/>
      <c r="L2992" s="560"/>
      <c r="M2992" s="560"/>
    </row>
    <row r="2993" spans="3:13" s="338" customFormat="1">
      <c r="C2993" s="558"/>
      <c r="D2993" s="559"/>
      <c r="E2993" s="559"/>
      <c r="F2993" s="559"/>
      <c r="G2993" s="558"/>
      <c r="H2993" s="559"/>
      <c r="I2993" s="559"/>
      <c r="J2993" s="559"/>
      <c r="K2993" s="560"/>
      <c r="L2993" s="560"/>
      <c r="M2993" s="560"/>
    </row>
    <row r="2994" spans="3:13" s="338" customFormat="1">
      <c r="C2994" s="558"/>
      <c r="D2994" s="559"/>
      <c r="E2994" s="559"/>
      <c r="F2994" s="559"/>
      <c r="G2994" s="558"/>
      <c r="H2994" s="559"/>
      <c r="I2994" s="559"/>
      <c r="J2994" s="559"/>
      <c r="K2994" s="560"/>
      <c r="L2994" s="560"/>
      <c r="M2994" s="560"/>
    </row>
    <row r="2995" spans="3:13" s="338" customFormat="1">
      <c r="C2995" s="558"/>
      <c r="D2995" s="559"/>
      <c r="E2995" s="559"/>
      <c r="F2995" s="559"/>
      <c r="G2995" s="558"/>
      <c r="H2995" s="559"/>
      <c r="I2995" s="559"/>
      <c r="J2995" s="559"/>
      <c r="K2995" s="560"/>
      <c r="L2995" s="560"/>
      <c r="M2995" s="560"/>
    </row>
    <row r="2996" spans="3:13" s="338" customFormat="1">
      <c r="C2996" s="558"/>
      <c r="D2996" s="559"/>
      <c r="E2996" s="559"/>
      <c r="F2996" s="559"/>
      <c r="G2996" s="558"/>
      <c r="H2996" s="559"/>
      <c r="I2996" s="559"/>
      <c r="J2996" s="559"/>
      <c r="K2996" s="560"/>
      <c r="L2996" s="560"/>
      <c r="M2996" s="560"/>
    </row>
    <row r="2997" spans="3:13" s="338" customFormat="1">
      <c r="C2997" s="558"/>
      <c r="D2997" s="559"/>
      <c r="E2997" s="559"/>
      <c r="F2997" s="559"/>
      <c r="G2997" s="558"/>
      <c r="H2997" s="559"/>
      <c r="I2997" s="559"/>
      <c r="J2997" s="559"/>
      <c r="K2997" s="560"/>
      <c r="L2997" s="560"/>
      <c r="M2997" s="560"/>
    </row>
    <row r="2998" spans="3:13" s="338" customFormat="1">
      <c r="C2998" s="558"/>
      <c r="D2998" s="559"/>
      <c r="E2998" s="559"/>
      <c r="F2998" s="559"/>
      <c r="G2998" s="558"/>
      <c r="H2998" s="559"/>
      <c r="I2998" s="559"/>
      <c r="J2998" s="559"/>
      <c r="K2998" s="560"/>
      <c r="L2998" s="560"/>
      <c r="M2998" s="560"/>
    </row>
    <row r="2999" spans="3:13" s="338" customFormat="1">
      <c r="C2999" s="558"/>
      <c r="D2999" s="559"/>
      <c r="E2999" s="559"/>
      <c r="F2999" s="559"/>
      <c r="G2999" s="558"/>
      <c r="H2999" s="559"/>
      <c r="I2999" s="559"/>
      <c r="J2999" s="559"/>
      <c r="K2999" s="560"/>
      <c r="L2999" s="560"/>
      <c r="M2999" s="560"/>
    </row>
    <row r="3000" spans="3:13" s="338" customFormat="1">
      <c r="C3000" s="558"/>
      <c r="D3000" s="559"/>
      <c r="E3000" s="559"/>
      <c r="F3000" s="559"/>
      <c r="G3000" s="558"/>
      <c r="H3000" s="559"/>
      <c r="I3000" s="559"/>
      <c r="J3000" s="559"/>
      <c r="K3000" s="560"/>
      <c r="L3000" s="560"/>
      <c r="M3000" s="560"/>
    </row>
    <row r="3001" spans="3:13" s="338" customFormat="1">
      <c r="C3001" s="558"/>
      <c r="D3001" s="559"/>
      <c r="E3001" s="559"/>
      <c r="F3001" s="559"/>
      <c r="G3001" s="558"/>
      <c r="H3001" s="559"/>
      <c r="I3001" s="559"/>
      <c r="J3001" s="559"/>
      <c r="K3001" s="560"/>
      <c r="L3001" s="560"/>
      <c r="M3001" s="560"/>
    </row>
    <row r="3002" spans="3:13" s="338" customFormat="1">
      <c r="C3002" s="558"/>
      <c r="D3002" s="559"/>
      <c r="E3002" s="559"/>
      <c r="F3002" s="559"/>
      <c r="G3002" s="558"/>
      <c r="H3002" s="559"/>
      <c r="I3002" s="559"/>
      <c r="J3002" s="559"/>
      <c r="K3002" s="560"/>
      <c r="L3002" s="560"/>
      <c r="M3002" s="560"/>
    </row>
    <row r="3003" spans="3:13" s="338" customFormat="1">
      <c r="C3003" s="558"/>
      <c r="D3003" s="559"/>
      <c r="E3003" s="559"/>
      <c r="F3003" s="559"/>
      <c r="G3003" s="558"/>
      <c r="H3003" s="559"/>
      <c r="I3003" s="559"/>
      <c r="J3003" s="559"/>
      <c r="K3003" s="560"/>
      <c r="L3003" s="560"/>
      <c r="M3003" s="560"/>
    </row>
    <row r="3004" spans="3:13" s="338" customFormat="1">
      <c r="C3004" s="558"/>
      <c r="D3004" s="559"/>
      <c r="E3004" s="559"/>
      <c r="F3004" s="559"/>
      <c r="G3004" s="558"/>
      <c r="H3004" s="559"/>
      <c r="I3004" s="559"/>
      <c r="J3004" s="559"/>
      <c r="K3004" s="560"/>
      <c r="L3004" s="560"/>
      <c r="M3004" s="560"/>
    </row>
    <row r="3005" spans="3:13" s="338" customFormat="1">
      <c r="C3005" s="558"/>
      <c r="D3005" s="559"/>
      <c r="E3005" s="559"/>
      <c r="F3005" s="559"/>
      <c r="G3005" s="558"/>
      <c r="H3005" s="559"/>
      <c r="I3005" s="559"/>
      <c r="J3005" s="559"/>
      <c r="K3005" s="560"/>
      <c r="L3005" s="560"/>
      <c r="M3005" s="560"/>
    </row>
    <row r="3006" spans="3:13" s="338" customFormat="1">
      <c r="C3006" s="558"/>
      <c r="D3006" s="559"/>
      <c r="E3006" s="559"/>
      <c r="F3006" s="559"/>
      <c r="G3006" s="558"/>
      <c r="H3006" s="559"/>
      <c r="I3006" s="559"/>
      <c r="J3006" s="559"/>
      <c r="K3006" s="560"/>
      <c r="L3006" s="560"/>
      <c r="M3006" s="560"/>
    </row>
    <row r="3007" spans="3:13" s="338" customFormat="1">
      <c r="C3007" s="558"/>
      <c r="D3007" s="559"/>
      <c r="E3007" s="559"/>
      <c r="F3007" s="559"/>
      <c r="G3007" s="558"/>
      <c r="H3007" s="559"/>
      <c r="I3007" s="559"/>
      <c r="J3007" s="559"/>
      <c r="K3007" s="560"/>
      <c r="L3007" s="560"/>
      <c r="M3007" s="560"/>
    </row>
    <row r="3008" spans="3:13" s="338" customFormat="1">
      <c r="C3008" s="558"/>
      <c r="D3008" s="559"/>
      <c r="E3008" s="559"/>
      <c r="F3008" s="559"/>
      <c r="G3008" s="558"/>
      <c r="H3008" s="559"/>
      <c r="I3008" s="559"/>
      <c r="J3008" s="559"/>
      <c r="K3008" s="560"/>
      <c r="L3008" s="560"/>
      <c r="M3008" s="560"/>
    </row>
    <row r="3009" spans="3:13" s="338" customFormat="1">
      <c r="C3009" s="558"/>
      <c r="D3009" s="559"/>
      <c r="E3009" s="559"/>
      <c r="F3009" s="559"/>
      <c r="G3009" s="558"/>
      <c r="H3009" s="559"/>
      <c r="I3009" s="559"/>
      <c r="J3009" s="559"/>
      <c r="K3009" s="560"/>
      <c r="L3009" s="560"/>
      <c r="M3009" s="560"/>
    </row>
    <row r="3010" spans="3:13" s="338" customFormat="1">
      <c r="C3010" s="558"/>
      <c r="D3010" s="559"/>
      <c r="E3010" s="559"/>
      <c r="F3010" s="559"/>
      <c r="G3010" s="558"/>
      <c r="H3010" s="559"/>
      <c r="I3010" s="559"/>
      <c r="J3010" s="559"/>
      <c r="K3010" s="560"/>
      <c r="L3010" s="560"/>
      <c r="M3010" s="560"/>
    </row>
    <row r="3011" spans="3:13" s="338" customFormat="1">
      <c r="C3011" s="558"/>
      <c r="D3011" s="559"/>
      <c r="E3011" s="559"/>
      <c r="F3011" s="559"/>
      <c r="G3011" s="558"/>
      <c r="H3011" s="559"/>
      <c r="I3011" s="559"/>
      <c r="J3011" s="559"/>
      <c r="K3011" s="560"/>
      <c r="L3011" s="560"/>
      <c r="M3011" s="560"/>
    </row>
    <row r="3012" spans="3:13" s="338" customFormat="1">
      <c r="C3012" s="558"/>
      <c r="D3012" s="559"/>
      <c r="E3012" s="559"/>
      <c r="F3012" s="559"/>
      <c r="G3012" s="558"/>
      <c r="H3012" s="559"/>
      <c r="I3012" s="559"/>
      <c r="J3012" s="559"/>
      <c r="K3012" s="560"/>
      <c r="L3012" s="560"/>
      <c r="M3012" s="560"/>
    </row>
    <row r="3013" spans="3:13" s="338" customFormat="1">
      <c r="C3013" s="558"/>
      <c r="D3013" s="559"/>
      <c r="E3013" s="559"/>
      <c r="F3013" s="559"/>
      <c r="G3013" s="558"/>
      <c r="H3013" s="559"/>
      <c r="I3013" s="559"/>
      <c r="J3013" s="559"/>
      <c r="K3013" s="560"/>
      <c r="L3013" s="560"/>
      <c r="M3013" s="560"/>
    </row>
    <row r="3014" spans="3:13" s="338" customFormat="1">
      <c r="C3014" s="558"/>
      <c r="D3014" s="559"/>
      <c r="E3014" s="559"/>
      <c r="F3014" s="559"/>
      <c r="G3014" s="558"/>
      <c r="H3014" s="559"/>
      <c r="I3014" s="559"/>
      <c r="J3014" s="559"/>
      <c r="K3014" s="560"/>
      <c r="L3014" s="560"/>
      <c r="M3014" s="560"/>
    </row>
    <row r="3015" spans="3:13" s="338" customFormat="1">
      <c r="C3015" s="558"/>
      <c r="D3015" s="559"/>
      <c r="E3015" s="559"/>
      <c r="F3015" s="559"/>
      <c r="G3015" s="558"/>
      <c r="H3015" s="559"/>
      <c r="I3015" s="559"/>
      <c r="J3015" s="559"/>
      <c r="K3015" s="560"/>
      <c r="L3015" s="560"/>
      <c r="M3015" s="560"/>
    </row>
    <row r="3016" spans="3:13" s="338" customFormat="1">
      <c r="C3016" s="558"/>
      <c r="D3016" s="559"/>
      <c r="E3016" s="559"/>
      <c r="F3016" s="559"/>
      <c r="G3016" s="558"/>
      <c r="H3016" s="559"/>
      <c r="I3016" s="559"/>
      <c r="J3016" s="559"/>
      <c r="K3016" s="560"/>
      <c r="L3016" s="560"/>
      <c r="M3016" s="560"/>
    </row>
    <row r="3017" spans="3:13" s="338" customFormat="1">
      <c r="C3017" s="558"/>
      <c r="D3017" s="559"/>
      <c r="E3017" s="559"/>
      <c r="F3017" s="559"/>
      <c r="G3017" s="558"/>
      <c r="H3017" s="559"/>
      <c r="I3017" s="559"/>
      <c r="J3017" s="559"/>
      <c r="K3017" s="560"/>
      <c r="L3017" s="560"/>
      <c r="M3017" s="560"/>
    </row>
    <row r="3018" spans="3:13" s="338" customFormat="1">
      <c r="C3018" s="558"/>
      <c r="D3018" s="559"/>
      <c r="E3018" s="559"/>
      <c r="F3018" s="559"/>
      <c r="G3018" s="558"/>
      <c r="H3018" s="559"/>
      <c r="I3018" s="559"/>
      <c r="J3018" s="559"/>
      <c r="K3018" s="560"/>
      <c r="L3018" s="560"/>
      <c r="M3018" s="560"/>
    </row>
    <row r="3019" spans="3:13" s="338" customFormat="1">
      <c r="C3019" s="558"/>
      <c r="D3019" s="559"/>
      <c r="E3019" s="559"/>
      <c r="F3019" s="559"/>
      <c r="G3019" s="558"/>
      <c r="H3019" s="559"/>
      <c r="I3019" s="559"/>
      <c r="J3019" s="559"/>
      <c r="K3019" s="560"/>
      <c r="L3019" s="560"/>
      <c r="M3019" s="560"/>
    </row>
    <row r="3020" spans="3:13" s="338" customFormat="1">
      <c r="C3020" s="558"/>
      <c r="D3020" s="559"/>
      <c r="E3020" s="559"/>
      <c r="F3020" s="559"/>
      <c r="G3020" s="558"/>
      <c r="H3020" s="559"/>
      <c r="I3020" s="559"/>
      <c r="J3020" s="559"/>
      <c r="K3020" s="560"/>
      <c r="L3020" s="560"/>
      <c r="M3020" s="560"/>
    </row>
    <row r="3021" spans="3:13" s="338" customFormat="1">
      <c r="C3021" s="558"/>
      <c r="D3021" s="559"/>
      <c r="E3021" s="559"/>
      <c r="F3021" s="559"/>
      <c r="G3021" s="558"/>
      <c r="H3021" s="559"/>
      <c r="I3021" s="559"/>
      <c r="J3021" s="559"/>
      <c r="K3021" s="560"/>
      <c r="L3021" s="560"/>
      <c r="M3021" s="560"/>
    </row>
    <row r="3022" spans="3:13" s="338" customFormat="1">
      <c r="C3022" s="558"/>
      <c r="D3022" s="559"/>
      <c r="E3022" s="559"/>
      <c r="F3022" s="559"/>
      <c r="G3022" s="558"/>
      <c r="H3022" s="559"/>
      <c r="I3022" s="559"/>
      <c r="J3022" s="559"/>
      <c r="K3022" s="560"/>
      <c r="L3022" s="560"/>
      <c r="M3022" s="560"/>
    </row>
    <row r="3023" spans="3:13" s="338" customFormat="1">
      <c r="C3023" s="558"/>
      <c r="D3023" s="559"/>
      <c r="E3023" s="559"/>
      <c r="F3023" s="559"/>
      <c r="G3023" s="558"/>
      <c r="H3023" s="559"/>
      <c r="I3023" s="559"/>
      <c r="J3023" s="559"/>
      <c r="K3023" s="560"/>
      <c r="L3023" s="560"/>
      <c r="M3023" s="560"/>
    </row>
    <row r="3024" spans="3:13" s="338" customFormat="1">
      <c r="C3024" s="558"/>
      <c r="D3024" s="559"/>
      <c r="E3024" s="559"/>
      <c r="F3024" s="559"/>
      <c r="G3024" s="558"/>
      <c r="H3024" s="559"/>
      <c r="I3024" s="559"/>
      <c r="J3024" s="559"/>
      <c r="K3024" s="560"/>
      <c r="L3024" s="560"/>
      <c r="M3024" s="560"/>
    </row>
    <row r="3025" spans="3:13" s="338" customFormat="1">
      <c r="C3025" s="558"/>
      <c r="D3025" s="559"/>
      <c r="E3025" s="559"/>
      <c r="F3025" s="559"/>
      <c r="G3025" s="558"/>
      <c r="H3025" s="559"/>
      <c r="I3025" s="559"/>
      <c r="J3025" s="559"/>
      <c r="K3025" s="560"/>
      <c r="L3025" s="560"/>
      <c r="M3025" s="560"/>
    </row>
    <row r="3026" spans="3:13" s="338" customFormat="1">
      <c r="C3026" s="558"/>
      <c r="D3026" s="559"/>
      <c r="E3026" s="559"/>
      <c r="F3026" s="559"/>
      <c r="G3026" s="558"/>
      <c r="H3026" s="559"/>
      <c r="I3026" s="559"/>
      <c r="J3026" s="559"/>
      <c r="K3026" s="560"/>
      <c r="L3026" s="560"/>
      <c r="M3026" s="560"/>
    </row>
    <row r="3027" spans="3:13" s="338" customFormat="1">
      <c r="C3027" s="558"/>
      <c r="D3027" s="559"/>
      <c r="E3027" s="559"/>
      <c r="F3027" s="559"/>
      <c r="G3027" s="558"/>
      <c r="H3027" s="559"/>
      <c r="I3027" s="559"/>
      <c r="J3027" s="559"/>
      <c r="K3027" s="560"/>
      <c r="L3027" s="560"/>
      <c r="M3027" s="560"/>
    </row>
    <row r="3028" spans="3:13" s="338" customFormat="1">
      <c r="C3028" s="558"/>
      <c r="D3028" s="559"/>
      <c r="E3028" s="559"/>
      <c r="F3028" s="559"/>
      <c r="G3028" s="558"/>
      <c r="H3028" s="559"/>
      <c r="I3028" s="559"/>
      <c r="J3028" s="559"/>
      <c r="K3028" s="560"/>
      <c r="L3028" s="560"/>
      <c r="M3028" s="560"/>
    </row>
    <row r="3029" spans="3:13" s="338" customFormat="1">
      <c r="C3029" s="558"/>
      <c r="D3029" s="559"/>
      <c r="E3029" s="559"/>
      <c r="F3029" s="559"/>
      <c r="G3029" s="558"/>
      <c r="H3029" s="559"/>
      <c r="I3029" s="559"/>
      <c r="J3029" s="559"/>
      <c r="K3029" s="560"/>
      <c r="L3029" s="560"/>
      <c r="M3029" s="560"/>
    </row>
    <row r="3030" spans="3:13" s="338" customFormat="1">
      <c r="C3030" s="558"/>
      <c r="D3030" s="559"/>
      <c r="E3030" s="559"/>
      <c r="F3030" s="559"/>
      <c r="G3030" s="558"/>
      <c r="H3030" s="559"/>
      <c r="I3030" s="559"/>
      <c r="J3030" s="559"/>
      <c r="K3030" s="560"/>
      <c r="L3030" s="560"/>
      <c r="M3030" s="560"/>
    </row>
    <row r="3031" spans="3:13" s="338" customFormat="1">
      <c r="C3031" s="558"/>
      <c r="D3031" s="559"/>
      <c r="E3031" s="559"/>
      <c r="F3031" s="559"/>
      <c r="G3031" s="558"/>
      <c r="H3031" s="559"/>
      <c r="I3031" s="559"/>
      <c r="J3031" s="559"/>
      <c r="K3031" s="560"/>
      <c r="L3031" s="560"/>
      <c r="M3031" s="560"/>
    </row>
    <row r="3032" spans="3:13" s="338" customFormat="1">
      <c r="C3032" s="558"/>
      <c r="D3032" s="559"/>
      <c r="E3032" s="559"/>
      <c r="F3032" s="559"/>
      <c r="G3032" s="558"/>
      <c r="H3032" s="559"/>
      <c r="I3032" s="559"/>
      <c r="J3032" s="559"/>
      <c r="K3032" s="560"/>
      <c r="L3032" s="560"/>
      <c r="M3032" s="560"/>
    </row>
    <row r="3033" spans="3:13" s="338" customFormat="1">
      <c r="C3033" s="558"/>
      <c r="D3033" s="559"/>
      <c r="E3033" s="559"/>
      <c r="F3033" s="559"/>
      <c r="G3033" s="558"/>
      <c r="H3033" s="559"/>
      <c r="I3033" s="559"/>
      <c r="J3033" s="559"/>
      <c r="K3033" s="560"/>
      <c r="L3033" s="560"/>
      <c r="M3033" s="560"/>
    </row>
    <row r="3034" spans="3:13" s="338" customFormat="1">
      <c r="C3034" s="558"/>
      <c r="D3034" s="559"/>
      <c r="E3034" s="559"/>
      <c r="F3034" s="559"/>
      <c r="G3034" s="558"/>
      <c r="H3034" s="559"/>
      <c r="I3034" s="559"/>
      <c r="J3034" s="559"/>
      <c r="K3034" s="560"/>
      <c r="L3034" s="560"/>
      <c r="M3034" s="560"/>
    </row>
    <row r="3035" spans="3:13" s="338" customFormat="1">
      <c r="C3035" s="558"/>
      <c r="D3035" s="559"/>
      <c r="E3035" s="559"/>
      <c r="F3035" s="559"/>
      <c r="G3035" s="558"/>
      <c r="H3035" s="559"/>
      <c r="I3035" s="559"/>
      <c r="J3035" s="559"/>
      <c r="K3035" s="560"/>
      <c r="L3035" s="560"/>
      <c r="M3035" s="560"/>
    </row>
    <row r="3036" spans="3:13" s="338" customFormat="1">
      <c r="C3036" s="558"/>
      <c r="D3036" s="559"/>
      <c r="E3036" s="559"/>
      <c r="F3036" s="559"/>
      <c r="G3036" s="558"/>
      <c r="H3036" s="559"/>
      <c r="I3036" s="559"/>
      <c r="J3036" s="559"/>
      <c r="K3036" s="560"/>
      <c r="L3036" s="560"/>
      <c r="M3036" s="560"/>
    </row>
    <row r="3037" spans="3:13" s="338" customFormat="1">
      <c r="C3037" s="558"/>
      <c r="D3037" s="559"/>
      <c r="E3037" s="559"/>
      <c r="F3037" s="559"/>
      <c r="G3037" s="558"/>
      <c r="H3037" s="559"/>
      <c r="I3037" s="559"/>
      <c r="J3037" s="559"/>
      <c r="K3037" s="560"/>
      <c r="L3037" s="560"/>
      <c r="M3037" s="560"/>
    </row>
    <row r="3038" spans="3:13" s="338" customFormat="1">
      <c r="C3038" s="558"/>
      <c r="D3038" s="559"/>
      <c r="E3038" s="559"/>
      <c r="F3038" s="559"/>
      <c r="G3038" s="558"/>
      <c r="H3038" s="559"/>
      <c r="I3038" s="559"/>
      <c r="J3038" s="559"/>
      <c r="K3038" s="560"/>
      <c r="L3038" s="560"/>
      <c r="M3038" s="560"/>
    </row>
    <row r="3039" spans="3:13" s="338" customFormat="1">
      <c r="C3039" s="558"/>
      <c r="D3039" s="559"/>
      <c r="E3039" s="559"/>
      <c r="F3039" s="559"/>
      <c r="G3039" s="558"/>
      <c r="H3039" s="559"/>
      <c r="I3039" s="559"/>
      <c r="J3039" s="559"/>
      <c r="K3039" s="560"/>
      <c r="L3039" s="560"/>
      <c r="M3039" s="560"/>
    </row>
    <row r="3040" spans="3:13" s="338" customFormat="1">
      <c r="C3040" s="558"/>
      <c r="D3040" s="559"/>
      <c r="E3040" s="559"/>
      <c r="F3040" s="559"/>
      <c r="G3040" s="558"/>
      <c r="H3040" s="559"/>
      <c r="I3040" s="559"/>
      <c r="J3040" s="559"/>
      <c r="K3040" s="560"/>
      <c r="L3040" s="560"/>
      <c r="M3040" s="560"/>
    </row>
    <row r="3041" spans="3:13" s="338" customFormat="1">
      <c r="C3041" s="558"/>
      <c r="D3041" s="559"/>
      <c r="E3041" s="559"/>
      <c r="F3041" s="559"/>
      <c r="G3041" s="558"/>
      <c r="H3041" s="559"/>
      <c r="I3041" s="559"/>
      <c r="J3041" s="559"/>
      <c r="K3041" s="560"/>
      <c r="L3041" s="560"/>
      <c r="M3041" s="560"/>
    </row>
    <row r="3042" spans="3:13" s="338" customFormat="1">
      <c r="C3042" s="558"/>
      <c r="D3042" s="559"/>
      <c r="E3042" s="559"/>
      <c r="F3042" s="559"/>
      <c r="G3042" s="558"/>
      <c r="H3042" s="559"/>
      <c r="I3042" s="559"/>
      <c r="J3042" s="559"/>
      <c r="K3042" s="560"/>
      <c r="L3042" s="560"/>
      <c r="M3042" s="560"/>
    </row>
    <row r="3043" spans="3:13" s="338" customFormat="1">
      <c r="C3043" s="558"/>
      <c r="D3043" s="559"/>
      <c r="E3043" s="559"/>
      <c r="F3043" s="559"/>
      <c r="G3043" s="558"/>
      <c r="H3043" s="559"/>
      <c r="I3043" s="559"/>
      <c r="J3043" s="559"/>
      <c r="K3043" s="560"/>
      <c r="L3043" s="560"/>
      <c r="M3043" s="560"/>
    </row>
    <row r="3044" spans="3:13" s="338" customFormat="1">
      <c r="C3044" s="558"/>
      <c r="D3044" s="559"/>
      <c r="E3044" s="559"/>
      <c r="F3044" s="559"/>
      <c r="G3044" s="558"/>
      <c r="H3044" s="559"/>
      <c r="I3044" s="559"/>
      <c r="J3044" s="559"/>
      <c r="K3044" s="560"/>
      <c r="L3044" s="560"/>
      <c r="M3044" s="560"/>
    </row>
    <row r="3045" spans="3:13" s="338" customFormat="1">
      <c r="C3045" s="558"/>
      <c r="D3045" s="559"/>
      <c r="E3045" s="559"/>
      <c r="F3045" s="559"/>
      <c r="G3045" s="558"/>
      <c r="H3045" s="559"/>
      <c r="I3045" s="559"/>
      <c r="J3045" s="559"/>
      <c r="K3045" s="560"/>
      <c r="L3045" s="560"/>
      <c r="M3045" s="560"/>
    </row>
    <row r="3046" spans="3:13" s="338" customFormat="1">
      <c r="C3046" s="558"/>
      <c r="D3046" s="559"/>
      <c r="E3046" s="559"/>
      <c r="F3046" s="559"/>
      <c r="G3046" s="558"/>
      <c r="H3046" s="559"/>
      <c r="I3046" s="559"/>
      <c r="J3046" s="559"/>
      <c r="K3046" s="560"/>
      <c r="L3046" s="560"/>
      <c r="M3046" s="560"/>
    </row>
    <row r="3047" spans="3:13" s="338" customFormat="1">
      <c r="C3047" s="558"/>
      <c r="D3047" s="559"/>
      <c r="E3047" s="559"/>
      <c r="F3047" s="559"/>
      <c r="G3047" s="558"/>
      <c r="H3047" s="559"/>
      <c r="I3047" s="559"/>
      <c r="J3047" s="559"/>
      <c r="K3047" s="560"/>
      <c r="L3047" s="560"/>
      <c r="M3047" s="560"/>
    </row>
    <row r="3048" spans="3:13" s="338" customFormat="1">
      <c r="C3048" s="558"/>
      <c r="D3048" s="559"/>
      <c r="E3048" s="559"/>
      <c r="F3048" s="559"/>
      <c r="G3048" s="558"/>
      <c r="H3048" s="559"/>
      <c r="I3048" s="559"/>
      <c r="J3048" s="559"/>
      <c r="K3048" s="560"/>
      <c r="L3048" s="560"/>
      <c r="M3048" s="560"/>
    </row>
    <row r="3049" spans="3:13" s="338" customFormat="1">
      <c r="C3049" s="558"/>
      <c r="D3049" s="559"/>
      <c r="E3049" s="559"/>
      <c r="F3049" s="559"/>
      <c r="G3049" s="558"/>
      <c r="H3049" s="559"/>
      <c r="I3049" s="559"/>
      <c r="J3049" s="559"/>
      <c r="K3049" s="560"/>
      <c r="L3049" s="560"/>
      <c r="M3049" s="560"/>
    </row>
    <row r="3050" spans="3:13" s="338" customFormat="1">
      <c r="C3050" s="558"/>
      <c r="D3050" s="559"/>
      <c r="E3050" s="559"/>
      <c r="F3050" s="559"/>
      <c r="G3050" s="558"/>
      <c r="H3050" s="559"/>
      <c r="I3050" s="559"/>
      <c r="J3050" s="559"/>
      <c r="K3050" s="560"/>
      <c r="L3050" s="560"/>
      <c r="M3050" s="560"/>
    </row>
    <row r="3051" spans="3:13" s="338" customFormat="1">
      <c r="C3051" s="558"/>
      <c r="D3051" s="559"/>
      <c r="E3051" s="559"/>
      <c r="F3051" s="559"/>
      <c r="G3051" s="558"/>
      <c r="H3051" s="559"/>
      <c r="I3051" s="559"/>
      <c r="J3051" s="559"/>
      <c r="K3051" s="560"/>
      <c r="L3051" s="560"/>
      <c r="M3051" s="560"/>
    </row>
    <row r="3052" spans="3:13" s="338" customFormat="1">
      <c r="C3052" s="558"/>
      <c r="D3052" s="559"/>
      <c r="E3052" s="559"/>
      <c r="F3052" s="559"/>
      <c r="G3052" s="558"/>
      <c r="H3052" s="559"/>
      <c r="I3052" s="559"/>
      <c r="J3052" s="559"/>
      <c r="K3052" s="560"/>
      <c r="L3052" s="560"/>
      <c r="M3052" s="560"/>
    </row>
    <row r="3053" spans="3:13" s="338" customFormat="1">
      <c r="C3053" s="558"/>
      <c r="D3053" s="559"/>
      <c r="E3053" s="559"/>
      <c r="F3053" s="559"/>
      <c r="G3053" s="558"/>
      <c r="H3053" s="559"/>
      <c r="I3053" s="559"/>
      <c r="J3053" s="559"/>
      <c r="K3053" s="560"/>
      <c r="L3053" s="560"/>
      <c r="M3053" s="560"/>
    </row>
    <row r="3054" spans="3:13" s="338" customFormat="1">
      <c r="C3054" s="558"/>
      <c r="D3054" s="559"/>
      <c r="E3054" s="559"/>
      <c r="F3054" s="559"/>
      <c r="G3054" s="558"/>
      <c r="H3054" s="559"/>
      <c r="I3054" s="559"/>
      <c r="J3054" s="559"/>
      <c r="K3054" s="560"/>
      <c r="L3054" s="560"/>
      <c r="M3054" s="560"/>
    </row>
    <row r="3055" spans="3:13" s="338" customFormat="1">
      <c r="C3055" s="558"/>
      <c r="D3055" s="559"/>
      <c r="E3055" s="559"/>
      <c r="F3055" s="559"/>
      <c r="G3055" s="558"/>
      <c r="H3055" s="559"/>
      <c r="I3055" s="559"/>
      <c r="J3055" s="559"/>
      <c r="K3055" s="560"/>
      <c r="L3055" s="560"/>
      <c r="M3055" s="560"/>
    </row>
    <row r="3056" spans="3:13" s="338" customFormat="1">
      <c r="C3056" s="558"/>
      <c r="D3056" s="559"/>
      <c r="E3056" s="559"/>
      <c r="F3056" s="559"/>
      <c r="G3056" s="558"/>
      <c r="H3056" s="559"/>
      <c r="I3056" s="559"/>
      <c r="J3056" s="559"/>
      <c r="K3056" s="560"/>
      <c r="L3056" s="560"/>
      <c r="M3056" s="560"/>
    </row>
    <row r="3057" spans="3:13" s="338" customFormat="1">
      <c r="C3057" s="558"/>
      <c r="D3057" s="559"/>
      <c r="E3057" s="559"/>
      <c r="F3057" s="559"/>
      <c r="G3057" s="558"/>
      <c r="H3057" s="559"/>
      <c r="I3057" s="559"/>
      <c r="J3057" s="559"/>
      <c r="K3057" s="560"/>
      <c r="L3057" s="560"/>
      <c r="M3057" s="560"/>
    </row>
    <row r="3058" spans="3:13" s="338" customFormat="1">
      <c r="C3058" s="558"/>
      <c r="D3058" s="559"/>
      <c r="E3058" s="559"/>
      <c r="F3058" s="559"/>
      <c r="G3058" s="558"/>
      <c r="H3058" s="559"/>
      <c r="I3058" s="559"/>
      <c r="J3058" s="559"/>
      <c r="K3058" s="560"/>
      <c r="L3058" s="560"/>
      <c r="M3058" s="560"/>
    </row>
    <row r="3059" spans="3:13" s="338" customFormat="1">
      <c r="C3059" s="558"/>
      <c r="D3059" s="559"/>
      <c r="E3059" s="559"/>
      <c r="F3059" s="559"/>
      <c r="G3059" s="558"/>
      <c r="H3059" s="559"/>
      <c r="I3059" s="559"/>
      <c r="J3059" s="559"/>
      <c r="K3059" s="560"/>
      <c r="L3059" s="560"/>
      <c r="M3059" s="560"/>
    </row>
    <row r="3060" spans="3:13" s="338" customFormat="1">
      <c r="C3060" s="558"/>
      <c r="D3060" s="559"/>
      <c r="E3060" s="559"/>
      <c r="F3060" s="559"/>
      <c r="G3060" s="558"/>
      <c r="H3060" s="559"/>
      <c r="I3060" s="559"/>
      <c r="J3060" s="559"/>
      <c r="K3060" s="560"/>
      <c r="L3060" s="560"/>
      <c r="M3060" s="560"/>
    </row>
    <row r="3061" spans="3:13" s="338" customFormat="1">
      <c r="C3061" s="558"/>
      <c r="D3061" s="559"/>
      <c r="E3061" s="559"/>
      <c r="F3061" s="559"/>
      <c r="G3061" s="558"/>
      <c r="H3061" s="559"/>
      <c r="I3061" s="559"/>
      <c r="J3061" s="559"/>
      <c r="K3061" s="560"/>
      <c r="L3061" s="560"/>
      <c r="M3061" s="560"/>
    </row>
    <row r="3062" spans="3:13" s="338" customFormat="1">
      <c r="C3062" s="558"/>
      <c r="D3062" s="559"/>
      <c r="E3062" s="559"/>
      <c r="F3062" s="559"/>
      <c r="G3062" s="558"/>
      <c r="H3062" s="559"/>
      <c r="I3062" s="559"/>
      <c r="J3062" s="559"/>
      <c r="K3062" s="560"/>
      <c r="L3062" s="560"/>
      <c r="M3062" s="560"/>
    </row>
    <row r="3063" spans="3:13" s="338" customFormat="1">
      <c r="C3063" s="558"/>
      <c r="D3063" s="559"/>
      <c r="E3063" s="559"/>
      <c r="F3063" s="559"/>
      <c r="G3063" s="558"/>
      <c r="H3063" s="559"/>
      <c r="I3063" s="559"/>
      <c r="J3063" s="559"/>
      <c r="K3063" s="560"/>
      <c r="L3063" s="560"/>
      <c r="M3063" s="560"/>
    </row>
    <row r="3064" spans="3:13" s="338" customFormat="1">
      <c r="C3064" s="558"/>
      <c r="D3064" s="559"/>
      <c r="E3064" s="559"/>
      <c r="F3064" s="559"/>
      <c r="G3064" s="558"/>
      <c r="H3064" s="559"/>
      <c r="I3064" s="559"/>
      <c r="J3064" s="559"/>
      <c r="K3064" s="560"/>
      <c r="L3064" s="560"/>
      <c r="M3064" s="560"/>
    </row>
    <row r="3065" spans="3:13" s="338" customFormat="1">
      <c r="C3065" s="558"/>
      <c r="D3065" s="559"/>
      <c r="E3065" s="559"/>
      <c r="F3065" s="559"/>
      <c r="G3065" s="558"/>
      <c r="H3065" s="559"/>
      <c r="I3065" s="559"/>
      <c r="J3065" s="559"/>
      <c r="K3065" s="560"/>
      <c r="L3065" s="560"/>
      <c r="M3065" s="560"/>
    </row>
    <row r="3066" spans="3:13" s="338" customFormat="1">
      <c r="C3066" s="558"/>
      <c r="D3066" s="559"/>
      <c r="E3066" s="559"/>
      <c r="F3066" s="559"/>
      <c r="G3066" s="558"/>
      <c r="H3066" s="559"/>
      <c r="I3066" s="559"/>
      <c r="J3066" s="559"/>
      <c r="K3066" s="560"/>
      <c r="L3066" s="560"/>
      <c r="M3066" s="560"/>
    </row>
    <row r="3067" spans="3:13" s="338" customFormat="1">
      <c r="C3067" s="558"/>
      <c r="D3067" s="559"/>
      <c r="E3067" s="559"/>
      <c r="F3067" s="559"/>
      <c r="G3067" s="558"/>
      <c r="H3067" s="559"/>
      <c r="I3067" s="559"/>
      <c r="J3067" s="559"/>
      <c r="K3067" s="560"/>
      <c r="L3067" s="560"/>
      <c r="M3067" s="560"/>
    </row>
    <row r="3068" spans="3:13" s="338" customFormat="1">
      <c r="C3068" s="558"/>
      <c r="D3068" s="559"/>
      <c r="E3068" s="559"/>
      <c r="F3068" s="559"/>
      <c r="G3068" s="558"/>
      <c r="H3068" s="559"/>
      <c r="I3068" s="559"/>
      <c r="J3068" s="559"/>
      <c r="K3068" s="560"/>
      <c r="L3068" s="560"/>
      <c r="M3068" s="560"/>
    </row>
    <row r="3069" spans="3:13" s="338" customFormat="1">
      <c r="C3069" s="558"/>
      <c r="D3069" s="559"/>
      <c r="E3069" s="559"/>
      <c r="F3069" s="559"/>
      <c r="G3069" s="558"/>
      <c r="H3069" s="559"/>
      <c r="I3069" s="559"/>
      <c r="J3069" s="559"/>
      <c r="K3069" s="560"/>
      <c r="L3069" s="560"/>
      <c r="M3069" s="560"/>
    </row>
    <row r="3070" spans="3:13" s="338" customFormat="1">
      <c r="C3070" s="558"/>
      <c r="D3070" s="559"/>
      <c r="E3070" s="559"/>
      <c r="F3070" s="559"/>
      <c r="G3070" s="558"/>
      <c r="H3070" s="559"/>
      <c r="I3070" s="559"/>
      <c r="J3070" s="559"/>
      <c r="K3070" s="560"/>
      <c r="L3070" s="560"/>
      <c r="M3070" s="560"/>
    </row>
    <row r="3071" spans="3:13" s="338" customFormat="1">
      <c r="C3071" s="558"/>
      <c r="D3071" s="559"/>
      <c r="E3071" s="559"/>
      <c r="F3071" s="559"/>
      <c r="G3071" s="558"/>
      <c r="H3071" s="559"/>
      <c r="I3071" s="559"/>
      <c r="J3071" s="559"/>
      <c r="K3071" s="560"/>
      <c r="L3071" s="560"/>
      <c r="M3071" s="560"/>
    </row>
    <row r="3072" spans="3:13" s="338" customFormat="1">
      <c r="C3072" s="558"/>
      <c r="D3072" s="559"/>
      <c r="E3072" s="559"/>
      <c r="F3072" s="559"/>
      <c r="G3072" s="558"/>
      <c r="H3072" s="559"/>
      <c r="I3072" s="559"/>
      <c r="J3072" s="559"/>
      <c r="K3072" s="560"/>
      <c r="L3072" s="560"/>
      <c r="M3072" s="560"/>
    </row>
    <row r="3073" spans="3:13" s="338" customFormat="1">
      <c r="C3073" s="558"/>
      <c r="D3073" s="559"/>
      <c r="E3073" s="559"/>
      <c r="F3073" s="559"/>
      <c r="G3073" s="558"/>
      <c r="H3073" s="559"/>
      <c r="I3073" s="559"/>
      <c r="J3073" s="559"/>
      <c r="K3073" s="560"/>
      <c r="L3073" s="560"/>
      <c r="M3073" s="560"/>
    </row>
    <row r="3074" spans="3:13" s="338" customFormat="1">
      <c r="C3074" s="558"/>
      <c r="D3074" s="559"/>
      <c r="E3074" s="559"/>
      <c r="F3074" s="559"/>
      <c r="G3074" s="558"/>
      <c r="H3074" s="559"/>
      <c r="I3074" s="559"/>
      <c r="J3074" s="559"/>
      <c r="K3074" s="560"/>
      <c r="L3074" s="560"/>
      <c r="M3074" s="560"/>
    </row>
    <row r="3075" spans="3:13" s="338" customFormat="1">
      <c r="C3075" s="558"/>
      <c r="D3075" s="559"/>
      <c r="E3075" s="559"/>
      <c r="F3075" s="559"/>
      <c r="G3075" s="558"/>
      <c r="H3075" s="559"/>
      <c r="I3075" s="559"/>
      <c r="J3075" s="559"/>
      <c r="K3075" s="560"/>
      <c r="L3075" s="560"/>
      <c r="M3075" s="560"/>
    </row>
    <row r="3076" spans="3:13" s="338" customFormat="1">
      <c r="C3076" s="558"/>
      <c r="D3076" s="559"/>
      <c r="E3076" s="559"/>
      <c r="F3076" s="559"/>
      <c r="G3076" s="558"/>
      <c r="H3076" s="559"/>
      <c r="I3076" s="559"/>
      <c r="J3076" s="559"/>
      <c r="K3076" s="560"/>
      <c r="L3076" s="560"/>
      <c r="M3076" s="560"/>
    </row>
    <row r="3077" spans="3:13" s="338" customFormat="1">
      <c r="C3077" s="558"/>
      <c r="D3077" s="559"/>
      <c r="E3077" s="559"/>
      <c r="F3077" s="559"/>
      <c r="G3077" s="558"/>
      <c r="H3077" s="559"/>
      <c r="I3077" s="559"/>
      <c r="J3077" s="559"/>
      <c r="K3077" s="560"/>
      <c r="L3077" s="560"/>
      <c r="M3077" s="560"/>
    </row>
    <row r="3078" spans="3:13" s="338" customFormat="1">
      <c r="C3078" s="558"/>
      <c r="D3078" s="559"/>
      <c r="E3078" s="559"/>
      <c r="F3078" s="559"/>
      <c r="G3078" s="558"/>
      <c r="H3078" s="559"/>
      <c r="I3078" s="559"/>
      <c r="J3078" s="559"/>
      <c r="K3078" s="560"/>
      <c r="L3078" s="560"/>
      <c r="M3078" s="560"/>
    </row>
    <row r="3079" spans="3:13" s="338" customFormat="1">
      <c r="C3079" s="558"/>
      <c r="D3079" s="559"/>
      <c r="E3079" s="559"/>
      <c r="F3079" s="559"/>
      <c r="G3079" s="558"/>
      <c r="H3079" s="559"/>
      <c r="I3079" s="559"/>
      <c r="J3079" s="559"/>
      <c r="K3079" s="560"/>
      <c r="L3079" s="560"/>
      <c r="M3079" s="560"/>
    </row>
    <row r="3080" spans="3:13" s="338" customFormat="1">
      <c r="C3080" s="558"/>
      <c r="D3080" s="559"/>
      <c r="E3080" s="559"/>
      <c r="F3080" s="559"/>
      <c r="G3080" s="558"/>
      <c r="H3080" s="559"/>
      <c r="I3080" s="559"/>
      <c r="J3080" s="559"/>
      <c r="K3080" s="560"/>
      <c r="L3080" s="560"/>
      <c r="M3080" s="560"/>
    </row>
    <row r="3081" spans="3:13" s="338" customFormat="1">
      <c r="C3081" s="558"/>
      <c r="D3081" s="559"/>
      <c r="E3081" s="559"/>
      <c r="F3081" s="559"/>
      <c r="G3081" s="558"/>
      <c r="H3081" s="559"/>
      <c r="I3081" s="559"/>
      <c r="J3081" s="559"/>
      <c r="K3081" s="560"/>
      <c r="L3081" s="560"/>
      <c r="M3081" s="560"/>
    </row>
    <row r="3082" spans="3:13" s="338" customFormat="1">
      <c r="C3082" s="558"/>
      <c r="D3082" s="559"/>
      <c r="E3082" s="559"/>
      <c r="F3082" s="559"/>
      <c r="G3082" s="558"/>
      <c r="H3082" s="559"/>
      <c r="I3082" s="559"/>
      <c r="J3082" s="559"/>
      <c r="K3082" s="560"/>
      <c r="L3082" s="560"/>
      <c r="M3082" s="560"/>
    </row>
    <row r="3083" spans="3:13" s="338" customFormat="1">
      <c r="C3083" s="558"/>
      <c r="D3083" s="559"/>
      <c r="E3083" s="559"/>
      <c r="F3083" s="559"/>
      <c r="G3083" s="558"/>
      <c r="H3083" s="559"/>
      <c r="I3083" s="559"/>
      <c r="J3083" s="559"/>
      <c r="K3083" s="560"/>
      <c r="L3083" s="560"/>
      <c r="M3083" s="560"/>
    </row>
    <row r="3084" spans="3:13" s="338" customFormat="1">
      <c r="C3084" s="558"/>
      <c r="D3084" s="559"/>
      <c r="E3084" s="559"/>
      <c r="F3084" s="559"/>
      <c r="G3084" s="558"/>
      <c r="H3084" s="559"/>
      <c r="I3084" s="559"/>
      <c r="J3084" s="559"/>
      <c r="K3084" s="560"/>
      <c r="L3084" s="560"/>
      <c r="M3084" s="560"/>
    </row>
    <row r="3085" spans="3:13" s="338" customFormat="1">
      <c r="C3085" s="558"/>
      <c r="D3085" s="559"/>
      <c r="E3085" s="559"/>
      <c r="F3085" s="559"/>
      <c r="G3085" s="558"/>
      <c r="H3085" s="559"/>
      <c r="I3085" s="559"/>
      <c r="J3085" s="559"/>
      <c r="K3085" s="560"/>
      <c r="L3085" s="560"/>
      <c r="M3085" s="560"/>
    </row>
    <row r="3086" spans="3:13" s="338" customFormat="1">
      <c r="C3086" s="558"/>
      <c r="D3086" s="559"/>
      <c r="E3086" s="559"/>
      <c r="F3086" s="559"/>
      <c r="G3086" s="558"/>
      <c r="H3086" s="559"/>
      <c r="I3086" s="559"/>
      <c r="J3086" s="559"/>
      <c r="K3086" s="560"/>
      <c r="L3086" s="560"/>
      <c r="M3086" s="560"/>
    </row>
    <row r="3087" spans="3:13" s="338" customFormat="1">
      <c r="C3087" s="558"/>
      <c r="D3087" s="559"/>
      <c r="E3087" s="559"/>
      <c r="F3087" s="559"/>
      <c r="G3087" s="558"/>
      <c r="H3087" s="559"/>
      <c r="I3087" s="559"/>
      <c r="J3087" s="559"/>
      <c r="K3087" s="560"/>
      <c r="L3087" s="560"/>
      <c r="M3087" s="560"/>
    </row>
    <row r="3088" spans="3:13" s="338" customFormat="1">
      <c r="C3088" s="558"/>
      <c r="D3088" s="559"/>
      <c r="E3088" s="559"/>
      <c r="F3088" s="559"/>
      <c r="G3088" s="558"/>
      <c r="H3088" s="559"/>
      <c r="I3088" s="559"/>
      <c r="J3088" s="559"/>
      <c r="K3088" s="560"/>
      <c r="L3088" s="560"/>
      <c r="M3088" s="560"/>
    </row>
    <row r="3089" spans="3:13" s="338" customFormat="1">
      <c r="C3089" s="558"/>
      <c r="D3089" s="559"/>
      <c r="E3089" s="559"/>
      <c r="F3089" s="559"/>
      <c r="G3089" s="558"/>
      <c r="H3089" s="559"/>
      <c r="I3089" s="559"/>
      <c r="J3089" s="559"/>
      <c r="K3089" s="560"/>
      <c r="L3089" s="560"/>
      <c r="M3089" s="560"/>
    </row>
    <row r="3090" spans="3:13" s="338" customFormat="1">
      <c r="C3090" s="558"/>
      <c r="D3090" s="559"/>
      <c r="E3090" s="559"/>
      <c r="F3090" s="559"/>
      <c r="G3090" s="558"/>
      <c r="H3090" s="559"/>
      <c r="I3090" s="559"/>
      <c r="J3090" s="559"/>
      <c r="K3090" s="560"/>
      <c r="L3090" s="560"/>
      <c r="M3090" s="560"/>
    </row>
    <row r="3091" spans="3:13" s="338" customFormat="1">
      <c r="C3091" s="558"/>
      <c r="D3091" s="559"/>
      <c r="E3091" s="559"/>
      <c r="F3091" s="559"/>
      <c r="G3091" s="558"/>
      <c r="H3091" s="559"/>
      <c r="I3091" s="559"/>
      <c r="J3091" s="559"/>
      <c r="K3091" s="560"/>
      <c r="L3091" s="560"/>
      <c r="M3091" s="560"/>
    </row>
    <row r="3092" spans="3:13" s="338" customFormat="1">
      <c r="C3092" s="558"/>
      <c r="D3092" s="559"/>
      <c r="E3092" s="559"/>
      <c r="F3092" s="559"/>
      <c r="G3092" s="558"/>
      <c r="H3092" s="559"/>
      <c r="I3092" s="559"/>
      <c r="J3092" s="559"/>
      <c r="K3092" s="560"/>
      <c r="L3092" s="560"/>
      <c r="M3092" s="560"/>
    </row>
    <row r="3093" spans="3:13" s="338" customFormat="1">
      <c r="C3093" s="558"/>
      <c r="D3093" s="559"/>
      <c r="E3093" s="559"/>
      <c r="F3093" s="559"/>
      <c r="G3093" s="558"/>
      <c r="H3093" s="559"/>
      <c r="I3093" s="559"/>
      <c r="J3093" s="559"/>
      <c r="K3093" s="560"/>
      <c r="L3093" s="560"/>
      <c r="M3093" s="560"/>
    </row>
    <row r="3094" spans="3:13" s="338" customFormat="1">
      <c r="C3094" s="558"/>
      <c r="D3094" s="559"/>
      <c r="E3094" s="559"/>
      <c r="F3094" s="559"/>
      <c r="G3094" s="558"/>
      <c r="H3094" s="559"/>
      <c r="I3094" s="559"/>
      <c r="J3094" s="559"/>
      <c r="K3094" s="560"/>
      <c r="L3094" s="560"/>
      <c r="M3094" s="560"/>
    </row>
    <row r="3095" spans="3:13" s="338" customFormat="1">
      <c r="C3095" s="558"/>
      <c r="D3095" s="559"/>
      <c r="E3095" s="559"/>
      <c r="F3095" s="559"/>
      <c r="G3095" s="558"/>
      <c r="H3095" s="559"/>
      <c r="I3095" s="559"/>
      <c r="J3095" s="559"/>
      <c r="K3095" s="560"/>
      <c r="L3095" s="560"/>
      <c r="M3095" s="560"/>
    </row>
    <row r="3096" spans="3:13" s="338" customFormat="1">
      <c r="C3096" s="558"/>
      <c r="D3096" s="559"/>
      <c r="E3096" s="559"/>
      <c r="F3096" s="559"/>
      <c r="G3096" s="558"/>
      <c r="H3096" s="559"/>
      <c r="I3096" s="559"/>
      <c r="J3096" s="559"/>
      <c r="K3096" s="560"/>
      <c r="L3096" s="560"/>
      <c r="M3096" s="560"/>
    </row>
    <row r="3097" spans="3:13" s="338" customFormat="1">
      <c r="C3097" s="558"/>
      <c r="D3097" s="559"/>
      <c r="E3097" s="559"/>
      <c r="F3097" s="559"/>
      <c r="G3097" s="558"/>
      <c r="H3097" s="559"/>
      <c r="I3097" s="559"/>
      <c r="J3097" s="559"/>
      <c r="K3097" s="560"/>
      <c r="L3097" s="560"/>
      <c r="M3097" s="560"/>
    </row>
    <row r="3098" spans="3:13" s="338" customFormat="1">
      <c r="C3098" s="558"/>
      <c r="D3098" s="559"/>
      <c r="E3098" s="559"/>
      <c r="F3098" s="559"/>
      <c r="G3098" s="558"/>
      <c r="H3098" s="559"/>
      <c r="I3098" s="559"/>
      <c r="J3098" s="559"/>
      <c r="K3098" s="560"/>
      <c r="L3098" s="560"/>
      <c r="M3098" s="560"/>
    </row>
    <row r="3099" spans="3:13" s="338" customFormat="1">
      <c r="C3099" s="558"/>
      <c r="D3099" s="559"/>
      <c r="E3099" s="559"/>
      <c r="F3099" s="559"/>
      <c r="G3099" s="558"/>
      <c r="H3099" s="559"/>
      <c r="I3099" s="559"/>
      <c r="J3099" s="559"/>
      <c r="K3099" s="560"/>
      <c r="L3099" s="560"/>
      <c r="M3099" s="560"/>
    </row>
    <row r="3100" spans="3:13" s="338" customFormat="1">
      <c r="C3100" s="558"/>
      <c r="D3100" s="559"/>
      <c r="E3100" s="559"/>
      <c r="F3100" s="559"/>
      <c r="G3100" s="558"/>
      <c r="H3100" s="559"/>
      <c r="I3100" s="559"/>
      <c r="J3100" s="559"/>
      <c r="K3100" s="560"/>
      <c r="L3100" s="560"/>
      <c r="M3100" s="560"/>
    </row>
    <row r="3101" spans="3:13" s="338" customFormat="1">
      <c r="C3101" s="558"/>
      <c r="D3101" s="559"/>
      <c r="E3101" s="559"/>
      <c r="F3101" s="559"/>
      <c r="G3101" s="558"/>
      <c r="H3101" s="559"/>
      <c r="I3101" s="559"/>
      <c r="J3101" s="559"/>
      <c r="K3101" s="560"/>
      <c r="L3101" s="560"/>
      <c r="M3101" s="560"/>
    </row>
    <row r="3102" spans="3:13" s="338" customFormat="1">
      <c r="C3102" s="558"/>
      <c r="D3102" s="559"/>
      <c r="E3102" s="559"/>
      <c r="F3102" s="559"/>
      <c r="G3102" s="558"/>
      <c r="H3102" s="559"/>
      <c r="I3102" s="559"/>
      <c r="J3102" s="559"/>
      <c r="K3102" s="560"/>
      <c r="L3102" s="560"/>
      <c r="M3102" s="560"/>
    </row>
    <row r="3103" spans="3:13" s="338" customFormat="1">
      <c r="C3103" s="558"/>
      <c r="D3103" s="559"/>
      <c r="E3103" s="559"/>
      <c r="F3103" s="559"/>
      <c r="G3103" s="558"/>
      <c r="H3103" s="559"/>
      <c r="I3103" s="559"/>
      <c r="J3103" s="559"/>
      <c r="K3103" s="560"/>
      <c r="L3103" s="560"/>
      <c r="M3103" s="560"/>
    </row>
    <row r="3104" spans="3:13" s="338" customFormat="1">
      <c r="C3104" s="558"/>
      <c r="D3104" s="559"/>
      <c r="E3104" s="559"/>
      <c r="F3104" s="559"/>
      <c r="G3104" s="558"/>
      <c r="H3104" s="559"/>
      <c r="I3104" s="559"/>
      <c r="J3104" s="559"/>
      <c r="K3104" s="560"/>
      <c r="L3104" s="560"/>
      <c r="M3104" s="560"/>
    </row>
    <row r="3105" spans="3:13" s="338" customFormat="1">
      <c r="C3105" s="558"/>
      <c r="D3105" s="559"/>
      <c r="E3105" s="559"/>
      <c r="F3105" s="559"/>
      <c r="G3105" s="558"/>
      <c r="H3105" s="559"/>
      <c r="I3105" s="559"/>
      <c r="J3105" s="559"/>
      <c r="K3105" s="560"/>
      <c r="L3105" s="560"/>
      <c r="M3105" s="560"/>
    </row>
    <row r="3106" spans="3:13" s="338" customFormat="1">
      <c r="C3106" s="558"/>
      <c r="D3106" s="559"/>
      <c r="E3106" s="559"/>
      <c r="F3106" s="559"/>
      <c r="G3106" s="558"/>
      <c r="H3106" s="559"/>
      <c r="I3106" s="559"/>
      <c r="J3106" s="559"/>
      <c r="K3106" s="560"/>
      <c r="L3106" s="560"/>
      <c r="M3106" s="560"/>
    </row>
    <row r="3107" spans="3:13" s="338" customFormat="1">
      <c r="C3107" s="558"/>
      <c r="D3107" s="559"/>
      <c r="E3107" s="559"/>
      <c r="F3107" s="559"/>
      <c r="G3107" s="558"/>
      <c r="H3107" s="559"/>
      <c r="I3107" s="559"/>
      <c r="J3107" s="559"/>
      <c r="K3107" s="560"/>
      <c r="L3107" s="560"/>
      <c r="M3107" s="560"/>
    </row>
    <row r="3108" spans="3:13" s="338" customFormat="1">
      <c r="C3108" s="558"/>
      <c r="D3108" s="559"/>
      <c r="E3108" s="559"/>
      <c r="F3108" s="559"/>
      <c r="G3108" s="558"/>
      <c r="H3108" s="559"/>
      <c r="I3108" s="559"/>
      <c r="J3108" s="559"/>
      <c r="K3108" s="560"/>
      <c r="L3108" s="560"/>
      <c r="M3108" s="560"/>
    </row>
    <row r="3109" spans="3:13" s="338" customFormat="1">
      <c r="C3109" s="558"/>
      <c r="D3109" s="559"/>
      <c r="E3109" s="559"/>
      <c r="F3109" s="559"/>
      <c r="G3109" s="558"/>
      <c r="H3109" s="559"/>
      <c r="I3109" s="559"/>
      <c r="J3109" s="559"/>
      <c r="K3109" s="560"/>
      <c r="L3109" s="560"/>
      <c r="M3109" s="560"/>
    </row>
    <row r="3110" spans="3:13" s="338" customFormat="1">
      <c r="C3110" s="558"/>
      <c r="D3110" s="559"/>
      <c r="E3110" s="559"/>
      <c r="F3110" s="559"/>
      <c r="G3110" s="558"/>
      <c r="H3110" s="559"/>
      <c r="I3110" s="559"/>
      <c r="J3110" s="559"/>
      <c r="K3110" s="560"/>
      <c r="L3110" s="560"/>
      <c r="M3110" s="560"/>
    </row>
    <row r="3111" spans="3:13" s="338" customFormat="1">
      <c r="C3111" s="558"/>
      <c r="D3111" s="559"/>
      <c r="E3111" s="559"/>
      <c r="F3111" s="559"/>
      <c r="G3111" s="558"/>
      <c r="H3111" s="559"/>
      <c r="I3111" s="559"/>
      <c r="J3111" s="559"/>
      <c r="K3111" s="560"/>
      <c r="L3111" s="560"/>
      <c r="M3111" s="560"/>
    </row>
    <row r="3112" spans="3:13" s="338" customFormat="1">
      <c r="C3112" s="558"/>
      <c r="D3112" s="559"/>
      <c r="E3112" s="559"/>
      <c r="F3112" s="559"/>
      <c r="G3112" s="558"/>
      <c r="H3112" s="559"/>
      <c r="I3112" s="559"/>
      <c r="J3112" s="559"/>
      <c r="K3112" s="560"/>
      <c r="L3112" s="560"/>
      <c r="M3112" s="560"/>
    </row>
    <row r="3113" spans="3:13" s="338" customFormat="1">
      <c r="C3113" s="558"/>
      <c r="D3113" s="559"/>
      <c r="E3113" s="559"/>
      <c r="F3113" s="559"/>
      <c r="G3113" s="558"/>
      <c r="H3113" s="559"/>
      <c r="I3113" s="559"/>
      <c r="J3113" s="559"/>
      <c r="K3113" s="560"/>
      <c r="L3113" s="560"/>
      <c r="M3113" s="560"/>
    </row>
    <row r="3114" spans="3:13" s="338" customFormat="1">
      <c r="C3114" s="558"/>
      <c r="D3114" s="559"/>
      <c r="E3114" s="559"/>
      <c r="F3114" s="559"/>
      <c r="G3114" s="558"/>
      <c r="H3114" s="559"/>
      <c r="I3114" s="559"/>
      <c r="J3114" s="559"/>
      <c r="K3114" s="560"/>
      <c r="L3114" s="560"/>
      <c r="M3114" s="560"/>
    </row>
    <row r="3115" spans="3:13" s="338" customFormat="1">
      <c r="C3115" s="558"/>
      <c r="D3115" s="559"/>
      <c r="E3115" s="559"/>
      <c r="F3115" s="559"/>
      <c r="G3115" s="558"/>
      <c r="H3115" s="559"/>
      <c r="I3115" s="559"/>
      <c r="J3115" s="559"/>
      <c r="K3115" s="560"/>
      <c r="L3115" s="560"/>
      <c r="M3115" s="560"/>
    </row>
    <row r="3116" spans="3:13" s="338" customFormat="1">
      <c r="C3116" s="558"/>
      <c r="D3116" s="559"/>
      <c r="E3116" s="559"/>
      <c r="F3116" s="559"/>
      <c r="G3116" s="558"/>
      <c r="H3116" s="559"/>
      <c r="I3116" s="559"/>
      <c r="J3116" s="559"/>
      <c r="K3116" s="560"/>
      <c r="L3116" s="560"/>
      <c r="M3116" s="560"/>
    </row>
    <row r="3117" spans="3:13" s="338" customFormat="1">
      <c r="C3117" s="558"/>
      <c r="D3117" s="559"/>
      <c r="E3117" s="559"/>
      <c r="F3117" s="559"/>
      <c r="G3117" s="558"/>
      <c r="H3117" s="559"/>
      <c r="I3117" s="559"/>
      <c r="J3117" s="559"/>
      <c r="K3117" s="560"/>
      <c r="L3117" s="560"/>
      <c r="M3117" s="560"/>
    </row>
    <row r="3118" spans="3:13" s="338" customFormat="1">
      <c r="C3118" s="558"/>
      <c r="D3118" s="559"/>
      <c r="E3118" s="559"/>
      <c r="F3118" s="559"/>
      <c r="G3118" s="558"/>
      <c r="H3118" s="559"/>
      <c r="I3118" s="559"/>
      <c r="J3118" s="559"/>
      <c r="K3118" s="560"/>
      <c r="L3118" s="560"/>
      <c r="M3118" s="560"/>
    </row>
    <row r="3119" spans="3:13" s="338" customFormat="1">
      <c r="C3119" s="558"/>
      <c r="D3119" s="559"/>
      <c r="E3119" s="559"/>
      <c r="F3119" s="559"/>
      <c r="G3119" s="558"/>
      <c r="H3119" s="559"/>
      <c r="I3119" s="559"/>
      <c r="J3119" s="559"/>
      <c r="K3119" s="560"/>
      <c r="L3119" s="560"/>
      <c r="M3119" s="560"/>
    </row>
    <row r="3120" spans="3:13" s="338" customFormat="1">
      <c r="C3120" s="558"/>
      <c r="D3120" s="559"/>
      <c r="E3120" s="559"/>
      <c r="F3120" s="559"/>
      <c r="G3120" s="558"/>
      <c r="H3120" s="559"/>
      <c r="I3120" s="559"/>
      <c r="J3120" s="559"/>
      <c r="K3120" s="560"/>
      <c r="L3120" s="560"/>
      <c r="M3120" s="560"/>
    </row>
    <row r="3121" spans="3:13" s="338" customFormat="1">
      <c r="C3121" s="558"/>
      <c r="D3121" s="559"/>
      <c r="E3121" s="559"/>
      <c r="F3121" s="559"/>
      <c r="G3121" s="558"/>
      <c r="H3121" s="559"/>
      <c r="I3121" s="559"/>
      <c r="J3121" s="559"/>
      <c r="K3121" s="560"/>
      <c r="L3121" s="560"/>
      <c r="M3121" s="560"/>
    </row>
    <row r="3122" spans="3:13" s="338" customFormat="1">
      <c r="C3122" s="558"/>
      <c r="D3122" s="559"/>
      <c r="E3122" s="559"/>
      <c r="F3122" s="559"/>
      <c r="G3122" s="558"/>
      <c r="H3122" s="559"/>
      <c r="I3122" s="559"/>
      <c r="J3122" s="559"/>
      <c r="K3122" s="560"/>
      <c r="L3122" s="560"/>
      <c r="M3122" s="560"/>
    </row>
    <row r="3123" spans="3:13" s="338" customFormat="1">
      <c r="C3123" s="558"/>
      <c r="D3123" s="559"/>
      <c r="E3123" s="559"/>
      <c r="F3123" s="559"/>
      <c r="G3123" s="558"/>
      <c r="H3123" s="559"/>
      <c r="I3123" s="559"/>
      <c r="J3123" s="559"/>
      <c r="K3123" s="560"/>
      <c r="L3123" s="560"/>
      <c r="M3123" s="560"/>
    </row>
    <row r="3124" spans="3:13" s="338" customFormat="1">
      <c r="C3124" s="558"/>
      <c r="D3124" s="559"/>
      <c r="E3124" s="559"/>
      <c r="F3124" s="559"/>
      <c r="G3124" s="558"/>
      <c r="H3124" s="559"/>
      <c r="I3124" s="559"/>
      <c r="J3124" s="559"/>
      <c r="K3124" s="560"/>
      <c r="L3124" s="560"/>
      <c r="M3124" s="560"/>
    </row>
    <row r="3125" spans="3:13" s="338" customFormat="1">
      <c r="C3125" s="558"/>
      <c r="D3125" s="559"/>
      <c r="E3125" s="559"/>
      <c r="F3125" s="559"/>
      <c r="G3125" s="558"/>
      <c r="H3125" s="559"/>
      <c r="I3125" s="559"/>
      <c r="J3125" s="559"/>
      <c r="K3125" s="560"/>
      <c r="L3125" s="560"/>
      <c r="M3125" s="560"/>
    </row>
    <row r="3126" spans="3:13" s="338" customFormat="1">
      <c r="C3126" s="558"/>
      <c r="D3126" s="559"/>
      <c r="E3126" s="559"/>
      <c r="F3126" s="559"/>
      <c r="G3126" s="558"/>
      <c r="H3126" s="559"/>
      <c r="I3126" s="559"/>
      <c r="J3126" s="559"/>
      <c r="K3126" s="560"/>
      <c r="L3126" s="560"/>
      <c r="M3126" s="560"/>
    </row>
    <row r="3127" spans="3:13" s="338" customFormat="1">
      <c r="C3127" s="558"/>
      <c r="D3127" s="559"/>
      <c r="E3127" s="559"/>
      <c r="F3127" s="559"/>
      <c r="G3127" s="558"/>
      <c r="H3127" s="559"/>
      <c r="I3127" s="559"/>
      <c r="J3127" s="559"/>
      <c r="K3127" s="560"/>
      <c r="L3127" s="560"/>
      <c r="M3127" s="560"/>
    </row>
    <row r="3128" spans="3:13" s="338" customFormat="1">
      <c r="C3128" s="558"/>
      <c r="D3128" s="559"/>
      <c r="E3128" s="559"/>
      <c r="F3128" s="559"/>
      <c r="G3128" s="558"/>
      <c r="H3128" s="559"/>
      <c r="I3128" s="559"/>
      <c r="J3128" s="559"/>
      <c r="K3128" s="560"/>
      <c r="L3128" s="560"/>
      <c r="M3128" s="560"/>
    </row>
    <row r="3129" spans="3:13" s="338" customFormat="1">
      <c r="C3129" s="558"/>
      <c r="D3129" s="559"/>
      <c r="E3129" s="559"/>
      <c r="F3129" s="559"/>
      <c r="G3129" s="558"/>
      <c r="H3129" s="559"/>
      <c r="I3129" s="559"/>
      <c r="J3129" s="559"/>
      <c r="K3129" s="560"/>
      <c r="L3129" s="560"/>
      <c r="M3129" s="560"/>
    </row>
    <row r="3130" spans="3:13" s="338" customFormat="1">
      <c r="C3130" s="558"/>
      <c r="D3130" s="559"/>
      <c r="E3130" s="559"/>
      <c r="F3130" s="559"/>
      <c r="G3130" s="558"/>
      <c r="H3130" s="559"/>
      <c r="I3130" s="559"/>
      <c r="J3130" s="559"/>
      <c r="K3130" s="560"/>
      <c r="L3130" s="560"/>
      <c r="M3130" s="560"/>
    </row>
    <row r="3131" spans="3:13" s="338" customFormat="1">
      <c r="C3131" s="558"/>
      <c r="D3131" s="559"/>
      <c r="E3131" s="559"/>
      <c r="F3131" s="559"/>
      <c r="G3131" s="558"/>
      <c r="H3131" s="559"/>
      <c r="I3131" s="559"/>
      <c r="J3131" s="559"/>
      <c r="K3131" s="560"/>
      <c r="L3131" s="560"/>
      <c r="M3131" s="560"/>
    </row>
    <row r="3132" spans="3:13" s="338" customFormat="1">
      <c r="C3132" s="558"/>
      <c r="D3132" s="559"/>
      <c r="E3132" s="559"/>
      <c r="F3132" s="559"/>
      <c r="G3132" s="558"/>
      <c r="H3132" s="559"/>
      <c r="I3132" s="559"/>
      <c r="J3132" s="559"/>
      <c r="K3132" s="560"/>
      <c r="L3132" s="560"/>
      <c r="M3132" s="560"/>
    </row>
    <row r="3133" spans="3:13" s="338" customFormat="1">
      <c r="C3133" s="558"/>
      <c r="D3133" s="559"/>
      <c r="E3133" s="559"/>
      <c r="F3133" s="559"/>
      <c r="G3133" s="558"/>
      <c r="H3133" s="559"/>
      <c r="I3133" s="559"/>
      <c r="J3133" s="559"/>
      <c r="K3133" s="560"/>
      <c r="L3133" s="560"/>
      <c r="M3133" s="560"/>
    </row>
    <row r="3134" spans="3:13" s="338" customFormat="1">
      <c r="C3134" s="558"/>
      <c r="D3134" s="559"/>
      <c r="E3134" s="559"/>
      <c r="F3134" s="559"/>
      <c r="G3134" s="558"/>
      <c r="H3134" s="559"/>
      <c r="I3134" s="559"/>
      <c r="J3134" s="559"/>
      <c r="K3134" s="560"/>
      <c r="L3134" s="560"/>
      <c r="M3134" s="560"/>
    </row>
    <row r="3135" spans="3:13" s="338" customFormat="1">
      <c r="C3135" s="558"/>
      <c r="D3135" s="559"/>
      <c r="E3135" s="559"/>
      <c r="F3135" s="559"/>
      <c r="G3135" s="558"/>
      <c r="H3135" s="559"/>
      <c r="I3135" s="559"/>
      <c r="J3135" s="559"/>
      <c r="K3135" s="560"/>
      <c r="L3135" s="560"/>
      <c r="M3135" s="560"/>
    </row>
    <row r="3136" spans="3:13" s="338" customFormat="1">
      <c r="C3136" s="558"/>
      <c r="D3136" s="559"/>
      <c r="E3136" s="559"/>
      <c r="F3136" s="559"/>
      <c r="G3136" s="558"/>
      <c r="H3136" s="559"/>
      <c r="I3136" s="559"/>
      <c r="J3136" s="559"/>
      <c r="K3136" s="560"/>
      <c r="L3136" s="560"/>
      <c r="M3136" s="560"/>
    </row>
    <row r="3137" spans="3:13" s="338" customFormat="1">
      <c r="C3137" s="558"/>
      <c r="D3137" s="559"/>
      <c r="E3137" s="559"/>
      <c r="F3137" s="559"/>
      <c r="G3137" s="558"/>
      <c r="H3137" s="559"/>
      <c r="I3137" s="559"/>
      <c r="J3137" s="559"/>
      <c r="K3137" s="560"/>
      <c r="L3137" s="560"/>
      <c r="M3137" s="560"/>
    </row>
    <row r="3138" spans="3:13" s="338" customFormat="1">
      <c r="C3138" s="558"/>
      <c r="D3138" s="559"/>
      <c r="E3138" s="559"/>
      <c r="F3138" s="559"/>
      <c r="G3138" s="558"/>
      <c r="H3138" s="559"/>
      <c r="I3138" s="559"/>
      <c r="J3138" s="559"/>
      <c r="K3138" s="560"/>
      <c r="L3138" s="560"/>
      <c r="M3138" s="560"/>
    </row>
    <row r="3139" spans="3:13" s="338" customFormat="1">
      <c r="C3139" s="558"/>
      <c r="D3139" s="559"/>
      <c r="E3139" s="559"/>
      <c r="F3139" s="559"/>
      <c r="G3139" s="558"/>
      <c r="H3139" s="559"/>
      <c r="I3139" s="559"/>
      <c r="J3139" s="559"/>
      <c r="K3139" s="560"/>
      <c r="L3139" s="560"/>
      <c r="M3139" s="560"/>
    </row>
    <row r="3140" spans="3:13" s="338" customFormat="1">
      <c r="C3140" s="558"/>
      <c r="D3140" s="559"/>
      <c r="E3140" s="559"/>
      <c r="F3140" s="559"/>
      <c r="G3140" s="558"/>
      <c r="H3140" s="559"/>
      <c r="I3140" s="559"/>
      <c r="J3140" s="559"/>
      <c r="K3140" s="560"/>
      <c r="L3140" s="560"/>
      <c r="M3140" s="560"/>
    </row>
    <row r="3141" spans="3:13" s="338" customFormat="1">
      <c r="C3141" s="558"/>
      <c r="D3141" s="559"/>
      <c r="E3141" s="559"/>
      <c r="F3141" s="559"/>
      <c r="G3141" s="558"/>
      <c r="H3141" s="559"/>
      <c r="I3141" s="559"/>
      <c r="J3141" s="559"/>
      <c r="K3141" s="560"/>
      <c r="L3141" s="560"/>
      <c r="M3141" s="560"/>
    </row>
    <row r="3142" spans="3:13" s="338" customFormat="1">
      <c r="C3142" s="558"/>
      <c r="D3142" s="559"/>
      <c r="E3142" s="559"/>
      <c r="F3142" s="559"/>
      <c r="G3142" s="558"/>
      <c r="H3142" s="559"/>
      <c r="I3142" s="559"/>
      <c r="J3142" s="559"/>
      <c r="K3142" s="560"/>
      <c r="L3142" s="560"/>
      <c r="M3142" s="560"/>
    </row>
    <row r="3143" spans="3:13" s="338" customFormat="1">
      <c r="C3143" s="558"/>
      <c r="D3143" s="559"/>
      <c r="E3143" s="559"/>
      <c r="F3143" s="559"/>
      <c r="G3143" s="558"/>
      <c r="H3143" s="559"/>
      <c r="I3143" s="559"/>
      <c r="J3143" s="559"/>
      <c r="K3143" s="560"/>
      <c r="L3143" s="560"/>
      <c r="M3143" s="560"/>
    </row>
    <row r="3144" spans="3:13" s="338" customFormat="1">
      <c r="C3144" s="558"/>
      <c r="D3144" s="559"/>
      <c r="E3144" s="559"/>
      <c r="F3144" s="559"/>
      <c r="G3144" s="558"/>
      <c r="H3144" s="559"/>
      <c r="I3144" s="559"/>
      <c r="J3144" s="559"/>
      <c r="K3144" s="560"/>
      <c r="L3144" s="560"/>
      <c r="M3144" s="560"/>
    </row>
    <row r="3145" spans="3:13" s="338" customFormat="1">
      <c r="C3145" s="558"/>
      <c r="D3145" s="559"/>
      <c r="E3145" s="559"/>
      <c r="F3145" s="559"/>
      <c r="G3145" s="558"/>
      <c r="H3145" s="559"/>
      <c r="I3145" s="559"/>
      <c r="J3145" s="559"/>
      <c r="K3145" s="560"/>
      <c r="L3145" s="560"/>
      <c r="M3145" s="560"/>
    </row>
    <row r="3146" spans="3:13" s="338" customFormat="1">
      <c r="C3146" s="558"/>
      <c r="D3146" s="559"/>
      <c r="E3146" s="559"/>
      <c r="F3146" s="559"/>
      <c r="G3146" s="558"/>
      <c r="H3146" s="559"/>
      <c r="I3146" s="559"/>
      <c r="J3146" s="559"/>
      <c r="K3146" s="560"/>
      <c r="L3146" s="560"/>
      <c r="M3146" s="560"/>
    </row>
    <row r="3147" spans="3:13" s="338" customFormat="1">
      <c r="C3147" s="558"/>
      <c r="D3147" s="559"/>
      <c r="E3147" s="559"/>
      <c r="F3147" s="559"/>
      <c r="G3147" s="558"/>
      <c r="H3147" s="559"/>
      <c r="I3147" s="559"/>
      <c r="J3147" s="559"/>
      <c r="K3147" s="560"/>
      <c r="L3147" s="560"/>
      <c r="M3147" s="560"/>
    </row>
    <row r="3148" spans="3:13" s="338" customFormat="1">
      <c r="C3148" s="558"/>
      <c r="D3148" s="559"/>
      <c r="E3148" s="559"/>
      <c r="F3148" s="559"/>
      <c r="G3148" s="558"/>
      <c r="H3148" s="559"/>
      <c r="I3148" s="559"/>
      <c r="J3148" s="559"/>
      <c r="K3148" s="560"/>
      <c r="L3148" s="560"/>
      <c r="M3148" s="560"/>
    </row>
    <row r="3149" spans="3:13" s="338" customFormat="1">
      <c r="C3149" s="558"/>
      <c r="D3149" s="559"/>
      <c r="E3149" s="559"/>
      <c r="F3149" s="559"/>
      <c r="G3149" s="558"/>
      <c r="H3149" s="559"/>
      <c r="I3149" s="559"/>
      <c r="J3149" s="559"/>
      <c r="K3149" s="560"/>
      <c r="L3149" s="560"/>
      <c r="M3149" s="560"/>
    </row>
    <row r="3150" spans="3:13" s="338" customFormat="1">
      <c r="C3150" s="558"/>
      <c r="D3150" s="559"/>
      <c r="E3150" s="559"/>
      <c r="F3150" s="559"/>
      <c r="G3150" s="558"/>
      <c r="H3150" s="559"/>
      <c r="I3150" s="559"/>
      <c r="J3150" s="559"/>
      <c r="K3150" s="560"/>
      <c r="L3150" s="560"/>
      <c r="M3150" s="560"/>
    </row>
    <row r="3151" spans="3:13" s="338" customFormat="1">
      <c r="C3151" s="558"/>
      <c r="D3151" s="559"/>
      <c r="E3151" s="559"/>
      <c r="F3151" s="559"/>
      <c r="G3151" s="558"/>
      <c r="H3151" s="559"/>
      <c r="I3151" s="559"/>
      <c r="J3151" s="559"/>
      <c r="K3151" s="560"/>
      <c r="L3151" s="560"/>
      <c r="M3151" s="560"/>
    </row>
    <row r="3152" spans="3:13" s="338" customFormat="1">
      <c r="C3152" s="558"/>
      <c r="D3152" s="559"/>
      <c r="E3152" s="559"/>
      <c r="F3152" s="559"/>
      <c r="G3152" s="558"/>
      <c r="H3152" s="559"/>
      <c r="I3152" s="559"/>
      <c r="J3152" s="559"/>
      <c r="K3152" s="560"/>
      <c r="L3152" s="560"/>
      <c r="M3152" s="560"/>
    </row>
    <row r="3153" spans="3:13" s="338" customFormat="1">
      <c r="C3153" s="558"/>
      <c r="D3153" s="559"/>
      <c r="E3153" s="559"/>
      <c r="F3153" s="559"/>
      <c r="G3153" s="558"/>
      <c r="H3153" s="559"/>
      <c r="I3153" s="559"/>
      <c r="J3153" s="559"/>
      <c r="K3153" s="560"/>
      <c r="L3153" s="560"/>
      <c r="M3153" s="560"/>
    </row>
    <row r="3154" spans="3:13" s="338" customFormat="1">
      <c r="C3154" s="558"/>
      <c r="D3154" s="559"/>
      <c r="E3154" s="559"/>
      <c r="F3154" s="559"/>
      <c r="G3154" s="558"/>
      <c r="H3154" s="559"/>
      <c r="I3154" s="559"/>
      <c r="J3154" s="559"/>
      <c r="K3154" s="560"/>
      <c r="L3154" s="560"/>
      <c r="M3154" s="560"/>
    </row>
    <row r="3155" spans="3:13" s="338" customFormat="1">
      <c r="C3155" s="558"/>
      <c r="D3155" s="559"/>
      <c r="E3155" s="559"/>
      <c r="F3155" s="559"/>
      <c r="G3155" s="558"/>
      <c r="H3155" s="559"/>
      <c r="I3155" s="559"/>
      <c r="J3155" s="559"/>
      <c r="K3155" s="560"/>
      <c r="L3155" s="560"/>
      <c r="M3155" s="560"/>
    </row>
    <row r="3156" spans="3:13" s="338" customFormat="1">
      <c r="C3156" s="558"/>
      <c r="D3156" s="559"/>
      <c r="E3156" s="559"/>
      <c r="F3156" s="559"/>
      <c r="G3156" s="558"/>
      <c r="H3156" s="559"/>
      <c r="I3156" s="559"/>
      <c r="J3156" s="559"/>
      <c r="K3156" s="560"/>
      <c r="L3156" s="560"/>
      <c r="M3156" s="560"/>
    </row>
    <row r="3157" spans="3:13" s="338" customFormat="1">
      <c r="C3157" s="558"/>
      <c r="D3157" s="559"/>
      <c r="E3157" s="559"/>
      <c r="F3157" s="559"/>
      <c r="G3157" s="558"/>
      <c r="H3157" s="559"/>
      <c r="I3157" s="559"/>
      <c r="J3157" s="559"/>
      <c r="K3157" s="560"/>
      <c r="L3157" s="560"/>
      <c r="M3157" s="560"/>
    </row>
    <row r="3158" spans="3:13" s="338" customFormat="1">
      <c r="C3158" s="558"/>
      <c r="D3158" s="559"/>
      <c r="E3158" s="559"/>
      <c r="F3158" s="559"/>
      <c r="G3158" s="558"/>
      <c r="H3158" s="559"/>
      <c r="I3158" s="559"/>
      <c r="J3158" s="559"/>
      <c r="K3158" s="560"/>
      <c r="L3158" s="560"/>
      <c r="M3158" s="560"/>
    </row>
    <row r="3159" spans="3:13" s="338" customFormat="1">
      <c r="C3159" s="558"/>
      <c r="D3159" s="559"/>
      <c r="E3159" s="559"/>
      <c r="F3159" s="559"/>
      <c r="G3159" s="558"/>
      <c r="H3159" s="559"/>
      <c r="I3159" s="559"/>
      <c r="J3159" s="559"/>
      <c r="K3159" s="560"/>
      <c r="L3159" s="560"/>
      <c r="M3159" s="560"/>
    </row>
    <row r="3160" spans="3:13" s="338" customFormat="1">
      <c r="C3160" s="558"/>
      <c r="D3160" s="559"/>
      <c r="E3160" s="559"/>
      <c r="F3160" s="559"/>
      <c r="G3160" s="558"/>
      <c r="H3160" s="559"/>
      <c r="I3160" s="559"/>
      <c r="J3160" s="559"/>
      <c r="K3160" s="560"/>
      <c r="L3160" s="560"/>
      <c r="M3160" s="560"/>
    </row>
    <row r="3161" spans="3:13" s="338" customFormat="1">
      <c r="C3161" s="558"/>
      <c r="D3161" s="559"/>
      <c r="E3161" s="559"/>
      <c r="F3161" s="559"/>
      <c r="G3161" s="558"/>
      <c r="H3161" s="559"/>
      <c r="I3161" s="559"/>
      <c r="J3161" s="559"/>
      <c r="K3161" s="560"/>
      <c r="L3161" s="560"/>
      <c r="M3161" s="560"/>
    </row>
    <row r="3162" spans="3:13" s="338" customFormat="1">
      <c r="C3162" s="558"/>
      <c r="D3162" s="559"/>
      <c r="E3162" s="559"/>
      <c r="F3162" s="559"/>
      <c r="G3162" s="558"/>
      <c r="H3162" s="559"/>
      <c r="I3162" s="559"/>
      <c r="J3162" s="559"/>
      <c r="K3162" s="560"/>
      <c r="L3162" s="560"/>
      <c r="M3162" s="560"/>
    </row>
    <row r="3163" spans="3:13" s="338" customFormat="1">
      <c r="C3163" s="558"/>
      <c r="D3163" s="559"/>
      <c r="E3163" s="559"/>
      <c r="F3163" s="559"/>
      <c r="G3163" s="558"/>
      <c r="H3163" s="559"/>
      <c r="I3163" s="559"/>
      <c r="J3163" s="559"/>
      <c r="K3163" s="560"/>
      <c r="L3163" s="560"/>
      <c r="M3163" s="560"/>
    </row>
    <row r="3164" spans="3:13" s="338" customFormat="1">
      <c r="C3164" s="558"/>
      <c r="D3164" s="559"/>
      <c r="E3164" s="559"/>
      <c r="F3164" s="559"/>
      <c r="G3164" s="558"/>
      <c r="H3164" s="559"/>
      <c r="I3164" s="559"/>
      <c r="J3164" s="559"/>
      <c r="K3164" s="560"/>
      <c r="L3164" s="560"/>
      <c r="M3164" s="560"/>
    </row>
    <row r="3165" spans="3:13" s="338" customFormat="1">
      <c r="C3165" s="558"/>
      <c r="D3165" s="559"/>
      <c r="E3165" s="559"/>
      <c r="F3165" s="559"/>
      <c r="G3165" s="558"/>
      <c r="H3165" s="559"/>
      <c r="I3165" s="559"/>
      <c r="J3165" s="559"/>
      <c r="K3165" s="560"/>
      <c r="L3165" s="560"/>
      <c r="M3165" s="560"/>
    </row>
    <row r="3166" spans="3:13" s="338" customFormat="1">
      <c r="C3166" s="558"/>
      <c r="D3166" s="559"/>
      <c r="E3166" s="559"/>
      <c r="F3166" s="559"/>
      <c r="G3166" s="558"/>
      <c r="H3166" s="559"/>
      <c r="I3166" s="559"/>
      <c r="J3166" s="559"/>
      <c r="K3166" s="560"/>
      <c r="L3166" s="560"/>
      <c r="M3166" s="560"/>
    </row>
    <row r="3167" spans="3:13" s="338" customFormat="1">
      <c r="C3167" s="558"/>
      <c r="D3167" s="559"/>
      <c r="E3167" s="559"/>
      <c r="F3167" s="559"/>
      <c r="G3167" s="558"/>
      <c r="H3167" s="559"/>
      <c r="I3167" s="559"/>
      <c r="J3167" s="559"/>
      <c r="K3167" s="560"/>
      <c r="L3167" s="560"/>
      <c r="M3167" s="560"/>
    </row>
    <row r="3168" spans="3:13" s="338" customFormat="1">
      <c r="C3168" s="558"/>
      <c r="D3168" s="559"/>
      <c r="E3168" s="559"/>
      <c r="F3168" s="559"/>
      <c r="G3168" s="558"/>
      <c r="H3168" s="559"/>
      <c r="I3168" s="559"/>
      <c r="J3168" s="559"/>
      <c r="K3168" s="560"/>
      <c r="L3168" s="560"/>
      <c r="M3168" s="560"/>
    </row>
    <row r="3169" spans="3:13" s="338" customFormat="1">
      <c r="C3169" s="558"/>
      <c r="D3169" s="559"/>
      <c r="E3169" s="559"/>
      <c r="F3169" s="559"/>
      <c r="G3169" s="558"/>
      <c r="H3169" s="559"/>
      <c r="I3169" s="559"/>
      <c r="J3169" s="559"/>
      <c r="K3169" s="560"/>
      <c r="L3169" s="560"/>
      <c r="M3169" s="560"/>
    </row>
    <row r="3170" spans="3:13" s="338" customFormat="1">
      <c r="C3170" s="558"/>
      <c r="D3170" s="559"/>
      <c r="E3170" s="559"/>
      <c r="F3170" s="559"/>
      <c r="G3170" s="558"/>
      <c r="H3170" s="559"/>
      <c r="I3170" s="559"/>
      <c r="J3170" s="559"/>
      <c r="K3170" s="560"/>
      <c r="L3170" s="560"/>
      <c r="M3170" s="560"/>
    </row>
    <row r="3171" spans="3:13" s="338" customFormat="1">
      <c r="C3171" s="558"/>
      <c r="D3171" s="559"/>
      <c r="E3171" s="559"/>
      <c r="F3171" s="559"/>
      <c r="G3171" s="558"/>
      <c r="H3171" s="559"/>
      <c r="I3171" s="559"/>
      <c r="J3171" s="559"/>
      <c r="K3171" s="560"/>
      <c r="L3171" s="560"/>
      <c r="M3171" s="560"/>
    </row>
    <row r="3172" spans="3:13" s="338" customFormat="1">
      <c r="C3172" s="558"/>
      <c r="D3172" s="559"/>
      <c r="E3172" s="559"/>
      <c r="F3172" s="559"/>
      <c r="G3172" s="558"/>
      <c r="H3172" s="559"/>
      <c r="I3172" s="559"/>
      <c r="J3172" s="559"/>
      <c r="K3172" s="560"/>
      <c r="L3172" s="560"/>
      <c r="M3172" s="560"/>
    </row>
    <row r="3173" spans="3:13" s="338" customFormat="1">
      <c r="C3173" s="558"/>
      <c r="D3173" s="559"/>
      <c r="E3173" s="559"/>
      <c r="F3173" s="559"/>
      <c r="G3173" s="558"/>
      <c r="H3173" s="559"/>
      <c r="I3173" s="559"/>
      <c r="J3173" s="559"/>
      <c r="K3173" s="560"/>
      <c r="L3173" s="560"/>
      <c r="M3173" s="560"/>
    </row>
    <row r="3174" spans="3:13" s="338" customFormat="1">
      <c r="C3174" s="558"/>
      <c r="D3174" s="559"/>
      <c r="E3174" s="559"/>
      <c r="F3174" s="559"/>
      <c r="G3174" s="558"/>
      <c r="H3174" s="559"/>
      <c r="I3174" s="559"/>
      <c r="J3174" s="559"/>
      <c r="K3174" s="560"/>
      <c r="L3174" s="560"/>
      <c r="M3174" s="560"/>
    </row>
    <row r="3175" spans="3:13" s="338" customFormat="1">
      <c r="C3175" s="558"/>
      <c r="D3175" s="559"/>
      <c r="E3175" s="559"/>
      <c r="F3175" s="559"/>
      <c r="G3175" s="558"/>
      <c r="H3175" s="559"/>
      <c r="I3175" s="559"/>
      <c r="J3175" s="559"/>
      <c r="K3175" s="560"/>
      <c r="L3175" s="560"/>
      <c r="M3175" s="560"/>
    </row>
    <row r="3176" spans="3:13" s="338" customFormat="1">
      <c r="C3176" s="558"/>
      <c r="D3176" s="559"/>
      <c r="E3176" s="559"/>
      <c r="F3176" s="559"/>
      <c r="G3176" s="558"/>
      <c r="H3176" s="559"/>
      <c r="I3176" s="559"/>
      <c r="J3176" s="559"/>
      <c r="K3176" s="560"/>
      <c r="L3176" s="560"/>
      <c r="M3176" s="560"/>
    </row>
    <row r="3177" spans="3:13" s="338" customFormat="1">
      <c r="C3177" s="558"/>
      <c r="D3177" s="559"/>
      <c r="E3177" s="559"/>
      <c r="F3177" s="559"/>
      <c r="G3177" s="558"/>
      <c r="H3177" s="559"/>
      <c r="I3177" s="559"/>
      <c r="J3177" s="559"/>
      <c r="K3177" s="560"/>
      <c r="L3177" s="560"/>
      <c r="M3177" s="560"/>
    </row>
    <row r="3178" spans="3:13" s="338" customFormat="1">
      <c r="C3178" s="558"/>
      <c r="D3178" s="559"/>
      <c r="E3178" s="559"/>
      <c r="F3178" s="559"/>
      <c r="G3178" s="558"/>
      <c r="H3178" s="559"/>
      <c r="I3178" s="559"/>
      <c r="J3178" s="559"/>
      <c r="K3178" s="560"/>
      <c r="L3178" s="560"/>
      <c r="M3178" s="560"/>
    </row>
    <row r="3179" spans="3:13" s="338" customFormat="1">
      <c r="C3179" s="558"/>
      <c r="D3179" s="559"/>
      <c r="E3179" s="559"/>
      <c r="F3179" s="559"/>
      <c r="G3179" s="558"/>
      <c r="H3179" s="559"/>
      <c r="I3179" s="559"/>
      <c r="J3179" s="559"/>
      <c r="K3179" s="560"/>
      <c r="L3179" s="560"/>
      <c r="M3179" s="560"/>
    </row>
    <row r="3180" spans="3:13" s="338" customFormat="1">
      <c r="C3180" s="558"/>
      <c r="D3180" s="559"/>
      <c r="E3180" s="559"/>
      <c r="F3180" s="559"/>
      <c r="G3180" s="558"/>
      <c r="H3180" s="559"/>
      <c r="I3180" s="559"/>
      <c r="J3180" s="559"/>
      <c r="K3180" s="560"/>
      <c r="L3180" s="560"/>
      <c r="M3180" s="560"/>
    </row>
    <row r="3181" spans="3:13" s="338" customFormat="1">
      <c r="C3181" s="558"/>
      <c r="D3181" s="559"/>
      <c r="E3181" s="559"/>
      <c r="F3181" s="559"/>
      <c r="G3181" s="558"/>
      <c r="H3181" s="559"/>
      <c r="I3181" s="559"/>
      <c r="J3181" s="559"/>
      <c r="K3181" s="560"/>
      <c r="L3181" s="560"/>
      <c r="M3181" s="560"/>
    </row>
    <row r="3182" spans="3:13" s="338" customFormat="1">
      <c r="C3182" s="558"/>
      <c r="D3182" s="559"/>
      <c r="E3182" s="559"/>
      <c r="F3182" s="559"/>
      <c r="G3182" s="558"/>
      <c r="H3182" s="559"/>
      <c r="I3182" s="559"/>
      <c r="J3182" s="559"/>
      <c r="K3182" s="560"/>
      <c r="L3182" s="560"/>
      <c r="M3182" s="560"/>
    </row>
    <row r="3183" spans="3:13" s="338" customFormat="1">
      <c r="C3183" s="558"/>
      <c r="D3183" s="559"/>
      <c r="E3183" s="559"/>
      <c r="F3183" s="559"/>
      <c r="G3183" s="558"/>
      <c r="H3183" s="559"/>
      <c r="I3183" s="559"/>
      <c r="J3183" s="559"/>
      <c r="K3183" s="560"/>
      <c r="L3183" s="560"/>
      <c r="M3183" s="560"/>
    </row>
    <row r="3184" spans="3:13" s="338" customFormat="1">
      <c r="C3184" s="558"/>
      <c r="D3184" s="559"/>
      <c r="E3184" s="559"/>
      <c r="F3184" s="559"/>
      <c r="G3184" s="558"/>
      <c r="H3184" s="559"/>
      <c r="I3184" s="559"/>
      <c r="J3184" s="559"/>
      <c r="K3184" s="560"/>
      <c r="L3184" s="560"/>
      <c r="M3184" s="560"/>
    </row>
    <row r="3185" spans="3:13" s="338" customFormat="1">
      <c r="C3185" s="558"/>
      <c r="D3185" s="559"/>
      <c r="E3185" s="559"/>
      <c r="F3185" s="559"/>
      <c r="G3185" s="558"/>
      <c r="H3185" s="559"/>
      <c r="I3185" s="559"/>
      <c r="J3185" s="559"/>
      <c r="K3185" s="560"/>
      <c r="L3185" s="560"/>
      <c r="M3185" s="560"/>
    </row>
    <row r="3186" spans="3:13" s="338" customFormat="1">
      <c r="C3186" s="558"/>
      <c r="D3186" s="559"/>
      <c r="E3186" s="559"/>
      <c r="F3186" s="559"/>
      <c r="G3186" s="558"/>
      <c r="H3186" s="559"/>
      <c r="I3186" s="559"/>
      <c r="J3186" s="559"/>
      <c r="K3186" s="560"/>
      <c r="L3186" s="560"/>
      <c r="M3186" s="560"/>
    </row>
    <row r="3187" spans="3:13" s="338" customFormat="1">
      <c r="C3187" s="558"/>
      <c r="D3187" s="559"/>
      <c r="E3187" s="559"/>
      <c r="F3187" s="559"/>
      <c r="G3187" s="558"/>
      <c r="H3187" s="559"/>
      <c r="I3187" s="559"/>
      <c r="J3187" s="559"/>
      <c r="K3187" s="560"/>
      <c r="L3187" s="560"/>
      <c r="M3187" s="560"/>
    </row>
    <row r="3188" spans="3:13" s="338" customFormat="1">
      <c r="C3188" s="558"/>
      <c r="D3188" s="559"/>
      <c r="E3188" s="559"/>
      <c r="F3188" s="559"/>
      <c r="G3188" s="558"/>
      <c r="H3188" s="559"/>
      <c r="I3188" s="559"/>
      <c r="J3188" s="559"/>
      <c r="K3188" s="560"/>
      <c r="L3188" s="560"/>
      <c r="M3188" s="560"/>
    </row>
    <row r="3189" spans="3:13" s="338" customFormat="1">
      <c r="C3189" s="558"/>
      <c r="D3189" s="559"/>
      <c r="E3189" s="559"/>
      <c r="F3189" s="559"/>
      <c r="G3189" s="558"/>
      <c r="H3189" s="559"/>
      <c r="I3189" s="559"/>
      <c r="J3189" s="559"/>
      <c r="K3189" s="560"/>
      <c r="L3189" s="560"/>
      <c r="M3189" s="560"/>
    </row>
    <row r="3190" spans="3:13" s="338" customFormat="1">
      <c r="C3190" s="558"/>
      <c r="D3190" s="559"/>
      <c r="E3190" s="559"/>
      <c r="F3190" s="559"/>
      <c r="G3190" s="558"/>
      <c r="H3190" s="559"/>
      <c r="I3190" s="559"/>
      <c r="J3190" s="559"/>
      <c r="K3190" s="560"/>
      <c r="L3190" s="560"/>
      <c r="M3190" s="560"/>
    </row>
    <row r="3191" spans="3:13" s="338" customFormat="1">
      <c r="C3191" s="558"/>
      <c r="D3191" s="559"/>
      <c r="E3191" s="559"/>
      <c r="F3191" s="559"/>
      <c r="G3191" s="558"/>
      <c r="H3191" s="559"/>
      <c r="I3191" s="559"/>
      <c r="J3191" s="559"/>
      <c r="K3191" s="560"/>
      <c r="L3191" s="560"/>
      <c r="M3191" s="560"/>
    </row>
    <row r="3192" spans="3:13" s="338" customFormat="1">
      <c r="C3192" s="558"/>
      <c r="D3192" s="559"/>
      <c r="E3192" s="559"/>
      <c r="F3192" s="559"/>
      <c r="G3192" s="558"/>
      <c r="H3192" s="559"/>
      <c r="I3192" s="559"/>
      <c r="J3192" s="559"/>
      <c r="K3192" s="560"/>
      <c r="L3192" s="560"/>
      <c r="M3192" s="560"/>
    </row>
    <row r="3193" spans="3:13" s="338" customFormat="1">
      <c r="C3193" s="558"/>
      <c r="D3193" s="559"/>
      <c r="E3193" s="559"/>
      <c r="F3193" s="559"/>
      <c r="G3193" s="558"/>
      <c r="H3193" s="559"/>
      <c r="I3193" s="559"/>
      <c r="J3193" s="559"/>
      <c r="K3193" s="560"/>
      <c r="L3193" s="560"/>
      <c r="M3193" s="560"/>
    </row>
    <row r="3194" spans="3:13" s="338" customFormat="1">
      <c r="C3194" s="558"/>
      <c r="D3194" s="559"/>
      <c r="E3194" s="559"/>
      <c r="F3194" s="559"/>
      <c r="G3194" s="558"/>
      <c r="H3194" s="559"/>
      <c r="I3194" s="559"/>
      <c r="J3194" s="559"/>
      <c r="K3194" s="560"/>
      <c r="L3194" s="560"/>
      <c r="M3194" s="560"/>
    </row>
    <row r="3195" spans="3:13" s="338" customFormat="1">
      <c r="C3195" s="558"/>
      <c r="D3195" s="559"/>
      <c r="E3195" s="559"/>
      <c r="F3195" s="559"/>
      <c r="G3195" s="558"/>
      <c r="H3195" s="559"/>
      <c r="I3195" s="559"/>
      <c r="J3195" s="559"/>
      <c r="K3195" s="560"/>
      <c r="L3195" s="560"/>
      <c r="M3195" s="560"/>
    </row>
    <row r="3196" spans="3:13" s="338" customFormat="1">
      <c r="C3196" s="558"/>
      <c r="D3196" s="559"/>
      <c r="E3196" s="559"/>
      <c r="F3196" s="559"/>
      <c r="G3196" s="558"/>
      <c r="H3196" s="559"/>
      <c r="I3196" s="559"/>
      <c r="J3196" s="559"/>
      <c r="K3196" s="560"/>
      <c r="L3196" s="560"/>
      <c r="M3196" s="560"/>
    </row>
    <row r="3197" spans="3:13" s="338" customFormat="1">
      <c r="C3197" s="558"/>
      <c r="D3197" s="559"/>
      <c r="E3197" s="559"/>
      <c r="F3197" s="559"/>
      <c r="G3197" s="558"/>
      <c r="H3197" s="559"/>
      <c r="I3197" s="559"/>
      <c r="J3197" s="559"/>
      <c r="K3197" s="560"/>
      <c r="L3197" s="560"/>
      <c r="M3197" s="560"/>
    </row>
    <row r="3198" spans="3:13" s="338" customFormat="1">
      <c r="C3198" s="558"/>
      <c r="D3198" s="559"/>
      <c r="E3198" s="559"/>
      <c r="F3198" s="559"/>
      <c r="G3198" s="558"/>
      <c r="H3198" s="559"/>
      <c r="I3198" s="559"/>
      <c r="J3198" s="559"/>
      <c r="K3198" s="560"/>
      <c r="L3198" s="560"/>
      <c r="M3198" s="560"/>
    </row>
    <row r="3199" spans="3:13" s="338" customFormat="1">
      <c r="C3199" s="558"/>
      <c r="D3199" s="559"/>
      <c r="E3199" s="559"/>
      <c r="F3199" s="559"/>
      <c r="G3199" s="558"/>
      <c r="H3199" s="559"/>
      <c r="I3199" s="559"/>
      <c r="J3199" s="559"/>
      <c r="K3199" s="560"/>
      <c r="L3199" s="560"/>
      <c r="M3199" s="560"/>
    </row>
    <row r="3200" spans="3:13" s="338" customFormat="1">
      <c r="C3200" s="558"/>
      <c r="D3200" s="559"/>
      <c r="E3200" s="559"/>
      <c r="F3200" s="559"/>
      <c r="G3200" s="558"/>
      <c r="H3200" s="559"/>
      <c r="I3200" s="559"/>
      <c r="J3200" s="559"/>
      <c r="K3200" s="560"/>
      <c r="L3200" s="560"/>
      <c r="M3200" s="560"/>
    </row>
    <row r="3201" spans="3:13" s="338" customFormat="1">
      <c r="C3201" s="558"/>
      <c r="D3201" s="559"/>
      <c r="E3201" s="559"/>
      <c r="F3201" s="559"/>
      <c r="G3201" s="558"/>
      <c r="H3201" s="559"/>
      <c r="I3201" s="559"/>
      <c r="J3201" s="559"/>
      <c r="K3201" s="560"/>
      <c r="L3201" s="560"/>
      <c r="M3201" s="560"/>
    </row>
    <row r="3202" spans="3:13" s="338" customFormat="1">
      <c r="C3202" s="558"/>
      <c r="D3202" s="559"/>
      <c r="E3202" s="559"/>
      <c r="F3202" s="559"/>
      <c r="G3202" s="558"/>
      <c r="H3202" s="559"/>
      <c r="I3202" s="559"/>
      <c r="J3202" s="559"/>
      <c r="K3202" s="560"/>
      <c r="L3202" s="560"/>
      <c r="M3202" s="560"/>
    </row>
    <row r="3203" spans="3:13" s="338" customFormat="1">
      <c r="C3203" s="558"/>
      <c r="D3203" s="559"/>
      <c r="E3203" s="559"/>
      <c r="F3203" s="559"/>
      <c r="G3203" s="558"/>
      <c r="H3203" s="559"/>
      <c r="I3203" s="559"/>
      <c r="J3203" s="559"/>
      <c r="K3203" s="560"/>
      <c r="L3203" s="560"/>
      <c r="M3203" s="560"/>
    </row>
    <row r="3204" spans="3:13" s="338" customFormat="1">
      <c r="C3204" s="558"/>
      <c r="D3204" s="559"/>
      <c r="E3204" s="559"/>
      <c r="F3204" s="559"/>
      <c r="G3204" s="558"/>
      <c r="H3204" s="559"/>
      <c r="I3204" s="559"/>
      <c r="J3204" s="559"/>
      <c r="K3204" s="560"/>
      <c r="L3204" s="560"/>
      <c r="M3204" s="560"/>
    </row>
    <row r="3205" spans="3:13" s="338" customFormat="1">
      <c r="C3205" s="558"/>
      <c r="D3205" s="559"/>
      <c r="E3205" s="559"/>
      <c r="F3205" s="559"/>
      <c r="G3205" s="558"/>
      <c r="H3205" s="559"/>
      <c r="I3205" s="559"/>
      <c r="J3205" s="559"/>
      <c r="K3205" s="560"/>
      <c r="L3205" s="560"/>
      <c r="M3205" s="560"/>
    </row>
    <row r="3206" spans="3:13" s="338" customFormat="1">
      <c r="C3206" s="558"/>
      <c r="D3206" s="559"/>
      <c r="E3206" s="559"/>
      <c r="F3206" s="559"/>
      <c r="G3206" s="558"/>
      <c r="H3206" s="559"/>
      <c r="I3206" s="559"/>
      <c r="J3206" s="559"/>
      <c r="K3206" s="560"/>
      <c r="L3206" s="560"/>
      <c r="M3206" s="560"/>
    </row>
    <row r="3207" spans="3:13" s="338" customFormat="1">
      <c r="C3207" s="558"/>
      <c r="D3207" s="559"/>
      <c r="E3207" s="559"/>
      <c r="F3207" s="559"/>
      <c r="G3207" s="558"/>
      <c r="H3207" s="559"/>
      <c r="I3207" s="559"/>
      <c r="J3207" s="559"/>
      <c r="K3207" s="560"/>
      <c r="L3207" s="560"/>
      <c r="M3207" s="560"/>
    </row>
    <row r="3208" spans="3:13" s="338" customFormat="1">
      <c r="C3208" s="558"/>
      <c r="D3208" s="559"/>
      <c r="E3208" s="559"/>
      <c r="F3208" s="559"/>
      <c r="G3208" s="558"/>
      <c r="H3208" s="559"/>
      <c r="I3208" s="559"/>
      <c r="J3208" s="559"/>
      <c r="K3208" s="560"/>
      <c r="L3208" s="560"/>
      <c r="M3208" s="560"/>
    </row>
    <row r="3209" spans="3:13" s="338" customFormat="1">
      <c r="C3209" s="558"/>
      <c r="D3209" s="559"/>
      <c r="E3209" s="559"/>
      <c r="F3209" s="559"/>
      <c r="G3209" s="558"/>
      <c r="H3209" s="559"/>
      <c r="I3209" s="559"/>
      <c r="J3209" s="559"/>
      <c r="K3209" s="560"/>
      <c r="L3209" s="560"/>
      <c r="M3209" s="560"/>
    </row>
    <row r="3210" spans="3:13" s="338" customFormat="1">
      <c r="C3210" s="558"/>
      <c r="D3210" s="559"/>
      <c r="E3210" s="559"/>
      <c r="F3210" s="559"/>
      <c r="G3210" s="558"/>
      <c r="H3210" s="559"/>
      <c r="I3210" s="559"/>
      <c r="J3210" s="559"/>
      <c r="K3210" s="560"/>
      <c r="L3210" s="560"/>
      <c r="M3210" s="560"/>
    </row>
    <row r="3211" spans="3:13" s="338" customFormat="1">
      <c r="C3211" s="558"/>
      <c r="D3211" s="559"/>
      <c r="E3211" s="559"/>
      <c r="F3211" s="559"/>
      <c r="G3211" s="558"/>
      <c r="H3211" s="559"/>
      <c r="I3211" s="559"/>
      <c r="J3211" s="559"/>
      <c r="K3211" s="560"/>
      <c r="L3211" s="560"/>
      <c r="M3211" s="560"/>
    </row>
    <row r="3212" spans="3:13" s="338" customFormat="1">
      <c r="C3212" s="558"/>
      <c r="D3212" s="559"/>
      <c r="E3212" s="559"/>
      <c r="F3212" s="559"/>
      <c r="G3212" s="558"/>
      <c r="H3212" s="559"/>
      <c r="I3212" s="559"/>
      <c r="J3212" s="559"/>
      <c r="K3212" s="560"/>
      <c r="L3212" s="560"/>
      <c r="M3212" s="560"/>
    </row>
    <row r="3213" spans="3:13" s="338" customFormat="1">
      <c r="C3213" s="558"/>
      <c r="D3213" s="559"/>
      <c r="E3213" s="559"/>
      <c r="F3213" s="559"/>
      <c r="G3213" s="558"/>
      <c r="H3213" s="559"/>
      <c r="I3213" s="559"/>
      <c r="J3213" s="559"/>
      <c r="K3213" s="560"/>
      <c r="L3213" s="560"/>
      <c r="M3213" s="560"/>
    </row>
    <row r="3214" spans="3:13" s="338" customFormat="1">
      <c r="C3214" s="558"/>
      <c r="D3214" s="559"/>
      <c r="E3214" s="559"/>
      <c r="F3214" s="559"/>
      <c r="G3214" s="558"/>
      <c r="H3214" s="559"/>
      <c r="I3214" s="559"/>
      <c r="J3214" s="559"/>
      <c r="K3214" s="560"/>
      <c r="L3214" s="560"/>
      <c r="M3214" s="560"/>
    </row>
    <row r="3215" spans="3:13" s="338" customFormat="1">
      <c r="C3215" s="558"/>
      <c r="D3215" s="559"/>
      <c r="E3215" s="559"/>
      <c r="F3215" s="559"/>
      <c r="G3215" s="558"/>
      <c r="H3215" s="559"/>
      <c r="I3215" s="559"/>
      <c r="J3215" s="559"/>
      <c r="K3215" s="560"/>
      <c r="L3215" s="560"/>
      <c r="M3215" s="560"/>
    </row>
    <row r="3216" spans="3:13" s="338" customFormat="1">
      <c r="C3216" s="558"/>
      <c r="D3216" s="559"/>
      <c r="E3216" s="559"/>
      <c r="F3216" s="559"/>
      <c r="G3216" s="558"/>
      <c r="H3216" s="559"/>
      <c r="I3216" s="559"/>
      <c r="J3216" s="559"/>
      <c r="K3216" s="560"/>
      <c r="L3216" s="560"/>
      <c r="M3216" s="560"/>
    </row>
    <row r="3217" spans="3:13" s="338" customFormat="1">
      <c r="C3217" s="558"/>
      <c r="D3217" s="559"/>
      <c r="E3217" s="559"/>
      <c r="F3217" s="559"/>
      <c r="G3217" s="558"/>
      <c r="H3217" s="559"/>
      <c r="I3217" s="559"/>
      <c r="J3217" s="559"/>
      <c r="K3217" s="560"/>
      <c r="L3217" s="560"/>
      <c r="M3217" s="560"/>
    </row>
    <row r="3218" spans="3:13" s="338" customFormat="1">
      <c r="C3218" s="558"/>
      <c r="D3218" s="559"/>
      <c r="E3218" s="559"/>
      <c r="F3218" s="559"/>
      <c r="G3218" s="558"/>
      <c r="H3218" s="559"/>
      <c r="I3218" s="559"/>
      <c r="J3218" s="559"/>
      <c r="K3218" s="560"/>
      <c r="L3218" s="560"/>
      <c r="M3218" s="560"/>
    </row>
    <row r="3219" spans="3:13" s="338" customFormat="1">
      <c r="C3219" s="558"/>
      <c r="D3219" s="559"/>
      <c r="E3219" s="559"/>
      <c r="F3219" s="559"/>
      <c r="G3219" s="558"/>
      <c r="H3219" s="559"/>
      <c r="I3219" s="559"/>
      <c r="J3219" s="559"/>
      <c r="K3219" s="560"/>
      <c r="L3219" s="560"/>
      <c r="M3219" s="560"/>
    </row>
    <row r="3220" spans="3:13" s="338" customFormat="1">
      <c r="C3220" s="558"/>
      <c r="D3220" s="559"/>
      <c r="E3220" s="559"/>
      <c r="F3220" s="559"/>
      <c r="G3220" s="558"/>
      <c r="H3220" s="559"/>
      <c r="I3220" s="559"/>
      <c r="J3220" s="559"/>
      <c r="K3220" s="560"/>
      <c r="L3220" s="560"/>
      <c r="M3220" s="560"/>
    </row>
    <row r="3221" spans="3:13" s="338" customFormat="1">
      <c r="C3221" s="558"/>
      <c r="D3221" s="559"/>
      <c r="E3221" s="559"/>
      <c r="F3221" s="559"/>
      <c r="G3221" s="558"/>
      <c r="H3221" s="559"/>
      <c r="I3221" s="559"/>
      <c r="J3221" s="559"/>
      <c r="K3221" s="560"/>
      <c r="L3221" s="560"/>
      <c r="M3221" s="560"/>
    </row>
    <row r="3222" spans="3:13" s="338" customFormat="1">
      <c r="C3222" s="558"/>
      <c r="D3222" s="559"/>
      <c r="E3222" s="559"/>
      <c r="F3222" s="559"/>
      <c r="G3222" s="558"/>
      <c r="H3222" s="559"/>
      <c r="I3222" s="559"/>
      <c r="J3222" s="559"/>
      <c r="K3222" s="560"/>
      <c r="L3222" s="560"/>
      <c r="M3222" s="560"/>
    </row>
    <row r="3223" spans="3:13" s="338" customFormat="1">
      <c r="C3223" s="558"/>
      <c r="D3223" s="559"/>
      <c r="E3223" s="559"/>
      <c r="F3223" s="559"/>
      <c r="G3223" s="558"/>
      <c r="H3223" s="559"/>
      <c r="I3223" s="559"/>
      <c r="J3223" s="559"/>
      <c r="K3223" s="560"/>
      <c r="L3223" s="560"/>
      <c r="M3223" s="560"/>
    </row>
    <row r="3224" spans="3:13" s="338" customFormat="1">
      <c r="C3224" s="558"/>
      <c r="D3224" s="559"/>
      <c r="E3224" s="559"/>
      <c r="F3224" s="559"/>
      <c r="G3224" s="558"/>
      <c r="H3224" s="559"/>
      <c r="I3224" s="559"/>
      <c r="J3224" s="559"/>
      <c r="K3224" s="560"/>
      <c r="L3224" s="560"/>
      <c r="M3224" s="560"/>
    </row>
    <row r="3225" spans="3:13" s="338" customFormat="1">
      <c r="C3225" s="558"/>
      <c r="D3225" s="559"/>
      <c r="E3225" s="559"/>
      <c r="F3225" s="559"/>
      <c r="G3225" s="558"/>
      <c r="H3225" s="559"/>
      <c r="I3225" s="559"/>
      <c r="J3225" s="559"/>
      <c r="K3225" s="560"/>
      <c r="L3225" s="560"/>
      <c r="M3225" s="560"/>
    </row>
    <row r="3226" spans="3:13" s="338" customFormat="1">
      <c r="C3226" s="558"/>
      <c r="D3226" s="559"/>
      <c r="E3226" s="559"/>
      <c r="F3226" s="559"/>
      <c r="G3226" s="558"/>
      <c r="H3226" s="559"/>
      <c r="I3226" s="559"/>
      <c r="J3226" s="559"/>
      <c r="K3226" s="560"/>
      <c r="L3226" s="560"/>
      <c r="M3226" s="560"/>
    </row>
    <row r="3227" spans="3:13" s="338" customFormat="1">
      <c r="C3227" s="558"/>
      <c r="D3227" s="559"/>
      <c r="E3227" s="559"/>
      <c r="F3227" s="559"/>
      <c r="G3227" s="558"/>
      <c r="H3227" s="559"/>
      <c r="I3227" s="559"/>
      <c r="J3227" s="559"/>
      <c r="K3227" s="560"/>
      <c r="L3227" s="560"/>
      <c r="M3227" s="560"/>
    </row>
    <row r="3228" spans="3:13" s="338" customFormat="1">
      <c r="C3228" s="558"/>
      <c r="D3228" s="559"/>
      <c r="E3228" s="559"/>
      <c r="F3228" s="559"/>
      <c r="G3228" s="558"/>
      <c r="H3228" s="559"/>
      <c r="I3228" s="559"/>
      <c r="J3228" s="559"/>
      <c r="K3228" s="560"/>
      <c r="L3228" s="560"/>
      <c r="M3228" s="560"/>
    </row>
    <row r="3229" spans="3:13" s="338" customFormat="1">
      <c r="C3229" s="558"/>
      <c r="D3229" s="559"/>
      <c r="E3229" s="559"/>
      <c r="F3229" s="559"/>
      <c r="G3229" s="558"/>
      <c r="H3229" s="559"/>
      <c r="I3229" s="559"/>
      <c r="J3229" s="559"/>
      <c r="K3229" s="560"/>
      <c r="L3229" s="560"/>
      <c r="M3229" s="560"/>
    </row>
    <row r="3230" spans="3:13" s="338" customFormat="1">
      <c r="C3230" s="558"/>
      <c r="D3230" s="559"/>
      <c r="E3230" s="559"/>
      <c r="F3230" s="559"/>
      <c r="G3230" s="558"/>
      <c r="H3230" s="559"/>
      <c r="I3230" s="559"/>
      <c r="J3230" s="559"/>
      <c r="K3230" s="560"/>
      <c r="L3230" s="560"/>
      <c r="M3230" s="560"/>
    </row>
    <row r="3231" spans="3:13" s="338" customFormat="1">
      <c r="C3231" s="558"/>
      <c r="D3231" s="559"/>
      <c r="E3231" s="559"/>
      <c r="F3231" s="559"/>
      <c r="G3231" s="558"/>
      <c r="H3231" s="559"/>
      <c r="I3231" s="559"/>
      <c r="J3231" s="559"/>
      <c r="K3231" s="560"/>
      <c r="L3231" s="560"/>
      <c r="M3231" s="560"/>
    </row>
    <row r="3232" spans="3:13" s="338" customFormat="1">
      <c r="C3232" s="558"/>
      <c r="D3232" s="559"/>
      <c r="E3232" s="559"/>
      <c r="F3232" s="559"/>
      <c r="G3232" s="558"/>
      <c r="H3232" s="559"/>
      <c r="I3232" s="559"/>
      <c r="J3232" s="559"/>
      <c r="K3232" s="560"/>
      <c r="L3232" s="560"/>
      <c r="M3232" s="560"/>
    </row>
    <row r="3233" spans="3:13" s="338" customFormat="1">
      <c r="C3233" s="558"/>
      <c r="D3233" s="559"/>
      <c r="E3233" s="559"/>
      <c r="F3233" s="559"/>
      <c r="G3233" s="558"/>
      <c r="H3233" s="559"/>
      <c r="I3233" s="559"/>
      <c r="J3233" s="559"/>
      <c r="K3233" s="560"/>
      <c r="L3233" s="560"/>
      <c r="M3233" s="560"/>
    </row>
    <row r="3234" spans="3:13" s="338" customFormat="1">
      <c r="C3234" s="558"/>
      <c r="D3234" s="559"/>
      <c r="E3234" s="559"/>
      <c r="F3234" s="559"/>
      <c r="G3234" s="558"/>
      <c r="H3234" s="559"/>
      <c r="I3234" s="559"/>
      <c r="J3234" s="559"/>
      <c r="K3234" s="560"/>
      <c r="L3234" s="560"/>
      <c r="M3234" s="560"/>
    </row>
    <row r="3235" spans="3:13" s="338" customFormat="1">
      <c r="C3235" s="558"/>
      <c r="D3235" s="559"/>
      <c r="E3235" s="559"/>
      <c r="F3235" s="559"/>
      <c r="G3235" s="558"/>
      <c r="H3235" s="559"/>
      <c r="I3235" s="559"/>
      <c r="J3235" s="559"/>
      <c r="K3235" s="560"/>
      <c r="L3235" s="560"/>
      <c r="M3235" s="560"/>
    </row>
    <row r="3236" spans="3:13" s="338" customFormat="1">
      <c r="C3236" s="558"/>
      <c r="D3236" s="559"/>
      <c r="E3236" s="559"/>
      <c r="F3236" s="559"/>
      <c r="G3236" s="558"/>
      <c r="H3236" s="559"/>
      <c r="I3236" s="559"/>
      <c r="J3236" s="559"/>
      <c r="K3236" s="560"/>
      <c r="L3236" s="560"/>
      <c r="M3236" s="560"/>
    </row>
    <row r="3237" spans="3:13" s="338" customFormat="1">
      <c r="C3237" s="558"/>
      <c r="D3237" s="559"/>
      <c r="E3237" s="559"/>
      <c r="F3237" s="559"/>
      <c r="G3237" s="558"/>
      <c r="H3237" s="559"/>
      <c r="I3237" s="559"/>
      <c r="J3237" s="559"/>
      <c r="K3237" s="560"/>
      <c r="L3237" s="560"/>
      <c r="M3237" s="560"/>
    </row>
    <row r="3238" spans="3:13" s="338" customFormat="1">
      <c r="C3238" s="558"/>
      <c r="D3238" s="559"/>
      <c r="E3238" s="559"/>
      <c r="F3238" s="559"/>
      <c r="G3238" s="558"/>
      <c r="H3238" s="559"/>
      <c r="I3238" s="559"/>
      <c r="J3238" s="559"/>
      <c r="K3238" s="560"/>
      <c r="L3238" s="560"/>
      <c r="M3238" s="560"/>
    </row>
    <row r="3239" spans="3:13" s="338" customFormat="1">
      <c r="C3239" s="558"/>
      <c r="D3239" s="559"/>
      <c r="E3239" s="559"/>
      <c r="F3239" s="559"/>
      <c r="G3239" s="558"/>
      <c r="H3239" s="559"/>
      <c r="I3239" s="559"/>
      <c r="J3239" s="559"/>
      <c r="K3239" s="560"/>
      <c r="L3239" s="560"/>
      <c r="M3239" s="560"/>
    </row>
    <row r="3240" spans="3:13" s="338" customFormat="1">
      <c r="C3240" s="558"/>
      <c r="D3240" s="559"/>
      <c r="E3240" s="559"/>
      <c r="F3240" s="559"/>
      <c r="G3240" s="558"/>
      <c r="H3240" s="559"/>
      <c r="I3240" s="559"/>
      <c r="J3240" s="559"/>
      <c r="K3240" s="560"/>
      <c r="L3240" s="560"/>
      <c r="M3240" s="560"/>
    </row>
    <row r="3241" spans="3:13" s="338" customFormat="1">
      <c r="C3241" s="558"/>
      <c r="D3241" s="559"/>
      <c r="E3241" s="559"/>
      <c r="F3241" s="559"/>
      <c r="G3241" s="558"/>
      <c r="H3241" s="559"/>
      <c r="I3241" s="559"/>
      <c r="J3241" s="559"/>
      <c r="K3241" s="560"/>
      <c r="L3241" s="560"/>
      <c r="M3241" s="560"/>
    </row>
    <row r="3242" spans="3:13" s="338" customFormat="1">
      <c r="C3242" s="558"/>
      <c r="D3242" s="559"/>
      <c r="E3242" s="559"/>
      <c r="F3242" s="559"/>
      <c r="G3242" s="558"/>
      <c r="H3242" s="559"/>
      <c r="I3242" s="559"/>
      <c r="J3242" s="559"/>
      <c r="K3242" s="560"/>
      <c r="L3242" s="560"/>
      <c r="M3242" s="560"/>
    </row>
    <row r="3243" spans="3:13" s="338" customFormat="1">
      <c r="C3243" s="558"/>
      <c r="D3243" s="559"/>
      <c r="E3243" s="559"/>
      <c r="F3243" s="559"/>
      <c r="G3243" s="558"/>
      <c r="H3243" s="559"/>
      <c r="I3243" s="559"/>
      <c r="J3243" s="559"/>
      <c r="K3243" s="560"/>
      <c r="L3243" s="560"/>
      <c r="M3243" s="560"/>
    </row>
    <row r="3244" spans="3:13" s="338" customFormat="1">
      <c r="C3244" s="558"/>
      <c r="D3244" s="559"/>
      <c r="E3244" s="559"/>
      <c r="F3244" s="559"/>
      <c r="G3244" s="558"/>
      <c r="H3244" s="559"/>
      <c r="I3244" s="559"/>
      <c r="J3244" s="559"/>
      <c r="K3244" s="560"/>
      <c r="L3244" s="560"/>
      <c r="M3244" s="560"/>
    </row>
    <row r="3245" spans="3:13" s="338" customFormat="1">
      <c r="C3245" s="558"/>
      <c r="D3245" s="559"/>
      <c r="E3245" s="559"/>
      <c r="F3245" s="559"/>
      <c r="G3245" s="558"/>
      <c r="H3245" s="559"/>
      <c r="I3245" s="559"/>
      <c r="J3245" s="559"/>
      <c r="K3245" s="560"/>
      <c r="L3245" s="560"/>
      <c r="M3245" s="560"/>
    </row>
    <row r="3246" spans="3:13" s="338" customFormat="1">
      <c r="C3246" s="558"/>
      <c r="D3246" s="559"/>
      <c r="E3246" s="559"/>
      <c r="F3246" s="559"/>
      <c r="G3246" s="558"/>
      <c r="H3246" s="559"/>
      <c r="I3246" s="559"/>
      <c r="J3246" s="559"/>
      <c r="K3246" s="560"/>
      <c r="L3246" s="560"/>
      <c r="M3246" s="560"/>
    </row>
    <row r="3247" spans="3:13" s="338" customFormat="1">
      <c r="C3247" s="558"/>
      <c r="D3247" s="559"/>
      <c r="E3247" s="559"/>
      <c r="F3247" s="559"/>
      <c r="G3247" s="558"/>
      <c r="H3247" s="559"/>
      <c r="I3247" s="559"/>
      <c r="J3247" s="559"/>
      <c r="K3247" s="560"/>
      <c r="L3247" s="560"/>
      <c r="M3247" s="560"/>
    </row>
    <row r="3248" spans="3:13" s="338" customFormat="1">
      <c r="C3248" s="558"/>
      <c r="D3248" s="559"/>
      <c r="E3248" s="559"/>
      <c r="F3248" s="559"/>
      <c r="G3248" s="558"/>
      <c r="H3248" s="559"/>
      <c r="I3248" s="559"/>
      <c r="J3248" s="559"/>
      <c r="K3248" s="560"/>
      <c r="L3248" s="560"/>
      <c r="M3248" s="560"/>
    </row>
    <row r="3249" spans="3:13" s="338" customFormat="1">
      <c r="C3249" s="558"/>
      <c r="D3249" s="559"/>
      <c r="E3249" s="559"/>
      <c r="F3249" s="559"/>
      <c r="G3249" s="558"/>
      <c r="H3249" s="559"/>
      <c r="I3249" s="559"/>
      <c r="J3249" s="559"/>
      <c r="K3249" s="560"/>
      <c r="L3249" s="560"/>
      <c r="M3249" s="560"/>
    </row>
    <row r="3250" spans="3:13" s="338" customFormat="1">
      <c r="C3250" s="558"/>
      <c r="D3250" s="559"/>
      <c r="E3250" s="559"/>
      <c r="F3250" s="559"/>
      <c r="G3250" s="558"/>
      <c r="H3250" s="559"/>
      <c r="I3250" s="559"/>
      <c r="J3250" s="559"/>
      <c r="K3250" s="560"/>
      <c r="L3250" s="560"/>
      <c r="M3250" s="560"/>
    </row>
    <row r="3251" spans="3:13" s="338" customFormat="1">
      <c r="C3251" s="558"/>
      <c r="D3251" s="559"/>
      <c r="E3251" s="559"/>
      <c r="F3251" s="559"/>
      <c r="G3251" s="558"/>
      <c r="H3251" s="559"/>
      <c r="I3251" s="559"/>
      <c r="J3251" s="559"/>
      <c r="K3251" s="560"/>
      <c r="L3251" s="560"/>
      <c r="M3251" s="560"/>
    </row>
    <row r="3252" spans="3:13" s="338" customFormat="1">
      <c r="C3252" s="558"/>
      <c r="D3252" s="559"/>
      <c r="E3252" s="559"/>
      <c r="F3252" s="559"/>
      <c r="G3252" s="558"/>
      <c r="H3252" s="559"/>
      <c r="I3252" s="559"/>
      <c r="J3252" s="559"/>
      <c r="K3252" s="560"/>
      <c r="L3252" s="560"/>
      <c r="M3252" s="560"/>
    </row>
    <row r="3253" spans="3:13" s="338" customFormat="1">
      <c r="C3253" s="558"/>
      <c r="D3253" s="559"/>
      <c r="E3253" s="559"/>
      <c r="F3253" s="559"/>
      <c r="G3253" s="558"/>
      <c r="H3253" s="559"/>
      <c r="I3253" s="559"/>
      <c r="J3253" s="559"/>
      <c r="K3253" s="560"/>
      <c r="L3253" s="560"/>
      <c r="M3253" s="560"/>
    </row>
    <row r="3254" spans="3:13" s="338" customFormat="1">
      <c r="C3254" s="558"/>
      <c r="D3254" s="559"/>
      <c r="E3254" s="559"/>
      <c r="F3254" s="559"/>
      <c r="G3254" s="558"/>
      <c r="H3254" s="559"/>
      <c r="I3254" s="559"/>
      <c r="J3254" s="559"/>
      <c r="K3254" s="560"/>
      <c r="L3254" s="560"/>
      <c r="M3254" s="560"/>
    </row>
    <row r="3255" spans="3:13" s="338" customFormat="1">
      <c r="C3255" s="558"/>
      <c r="D3255" s="559"/>
      <c r="E3255" s="559"/>
      <c r="F3255" s="559"/>
      <c r="G3255" s="558"/>
      <c r="H3255" s="559"/>
      <c r="I3255" s="559"/>
      <c r="J3255" s="559"/>
      <c r="K3255" s="560"/>
      <c r="L3255" s="560"/>
      <c r="M3255" s="560"/>
    </row>
    <row r="3256" spans="3:13" s="338" customFormat="1">
      <c r="C3256" s="558"/>
      <c r="D3256" s="559"/>
      <c r="E3256" s="559"/>
      <c r="F3256" s="559"/>
      <c r="G3256" s="558"/>
      <c r="H3256" s="559"/>
      <c r="I3256" s="559"/>
      <c r="J3256" s="559"/>
      <c r="K3256" s="560"/>
      <c r="L3256" s="560"/>
      <c r="M3256" s="560"/>
    </row>
    <row r="3257" spans="3:13" s="338" customFormat="1">
      <c r="C3257" s="558"/>
      <c r="D3257" s="559"/>
      <c r="E3257" s="559"/>
      <c r="F3257" s="559"/>
      <c r="G3257" s="558"/>
      <c r="H3257" s="559"/>
      <c r="I3257" s="559"/>
      <c r="J3257" s="559"/>
      <c r="K3257" s="560"/>
      <c r="L3257" s="560"/>
      <c r="M3257" s="560"/>
    </row>
    <row r="3258" spans="3:13" s="338" customFormat="1">
      <c r="C3258" s="558"/>
      <c r="D3258" s="559"/>
      <c r="E3258" s="559"/>
      <c r="F3258" s="559"/>
      <c r="G3258" s="558"/>
      <c r="H3258" s="559"/>
      <c r="I3258" s="559"/>
      <c r="J3258" s="559"/>
      <c r="K3258" s="560"/>
      <c r="L3258" s="560"/>
      <c r="M3258" s="560"/>
    </row>
    <row r="3259" spans="3:13" s="338" customFormat="1">
      <c r="C3259" s="558"/>
      <c r="D3259" s="559"/>
      <c r="E3259" s="559"/>
      <c r="F3259" s="559"/>
      <c r="G3259" s="558"/>
      <c r="H3259" s="559"/>
      <c r="I3259" s="559"/>
      <c r="J3259" s="559"/>
      <c r="K3259" s="560"/>
      <c r="L3259" s="560"/>
      <c r="M3259" s="560"/>
    </row>
    <row r="3260" spans="3:13" s="338" customFormat="1">
      <c r="C3260" s="558"/>
      <c r="D3260" s="559"/>
      <c r="E3260" s="559"/>
      <c r="F3260" s="559"/>
      <c r="G3260" s="558"/>
      <c r="H3260" s="559"/>
      <c r="I3260" s="559"/>
      <c r="J3260" s="559"/>
      <c r="K3260" s="560"/>
      <c r="L3260" s="560"/>
      <c r="M3260" s="560"/>
    </row>
    <row r="3261" spans="3:13" s="338" customFormat="1">
      <c r="C3261" s="558"/>
      <c r="D3261" s="559"/>
      <c r="E3261" s="559"/>
      <c r="F3261" s="559"/>
      <c r="G3261" s="558"/>
      <c r="H3261" s="559"/>
      <c r="I3261" s="559"/>
      <c r="J3261" s="559"/>
      <c r="K3261" s="560"/>
      <c r="L3261" s="560"/>
      <c r="M3261" s="560"/>
    </row>
    <row r="3262" spans="3:13" s="338" customFormat="1">
      <c r="C3262" s="558"/>
      <c r="D3262" s="559"/>
      <c r="E3262" s="559"/>
      <c r="F3262" s="559"/>
      <c r="G3262" s="558"/>
      <c r="H3262" s="559"/>
      <c r="I3262" s="559"/>
      <c r="J3262" s="559"/>
      <c r="K3262" s="560"/>
      <c r="L3262" s="560"/>
      <c r="M3262" s="560"/>
    </row>
    <row r="3263" spans="3:13" s="338" customFormat="1">
      <c r="C3263" s="558"/>
      <c r="D3263" s="559"/>
      <c r="E3263" s="559"/>
      <c r="F3263" s="559"/>
      <c r="G3263" s="558"/>
      <c r="H3263" s="559"/>
      <c r="I3263" s="559"/>
      <c r="J3263" s="559"/>
      <c r="K3263" s="560"/>
      <c r="L3263" s="560"/>
      <c r="M3263" s="560"/>
    </row>
    <row r="3264" spans="3:13" s="338" customFormat="1">
      <c r="C3264" s="558"/>
      <c r="D3264" s="559"/>
      <c r="E3264" s="559"/>
      <c r="F3264" s="559"/>
      <c r="G3264" s="558"/>
      <c r="H3264" s="559"/>
      <c r="I3264" s="559"/>
      <c r="J3264" s="559"/>
      <c r="K3264" s="560"/>
      <c r="L3264" s="560"/>
      <c r="M3264" s="560"/>
    </row>
    <row r="3265" spans="3:13" s="338" customFormat="1">
      <c r="C3265" s="558"/>
      <c r="D3265" s="559"/>
      <c r="E3265" s="559"/>
      <c r="F3265" s="559"/>
      <c r="G3265" s="558"/>
      <c r="H3265" s="559"/>
      <c r="I3265" s="559"/>
      <c r="J3265" s="559"/>
      <c r="K3265" s="560"/>
      <c r="L3265" s="560"/>
      <c r="M3265" s="560"/>
    </row>
    <row r="3266" spans="3:13" s="338" customFormat="1">
      <c r="C3266" s="558"/>
      <c r="D3266" s="559"/>
      <c r="E3266" s="559"/>
      <c r="F3266" s="559"/>
      <c r="G3266" s="558"/>
      <c r="H3266" s="559"/>
      <c r="I3266" s="559"/>
      <c r="J3266" s="559"/>
      <c r="K3266" s="560"/>
      <c r="L3266" s="560"/>
      <c r="M3266" s="560"/>
    </row>
    <row r="3267" spans="3:13" s="338" customFormat="1">
      <c r="C3267" s="558"/>
      <c r="D3267" s="559"/>
      <c r="E3267" s="559"/>
      <c r="F3267" s="559"/>
      <c r="G3267" s="558"/>
      <c r="H3267" s="559"/>
      <c r="I3267" s="559"/>
      <c r="J3267" s="559"/>
      <c r="K3267" s="560"/>
      <c r="L3267" s="560"/>
      <c r="M3267" s="560"/>
    </row>
    <row r="3268" spans="3:13" s="338" customFormat="1">
      <c r="C3268" s="558"/>
      <c r="D3268" s="559"/>
      <c r="E3268" s="559"/>
      <c r="F3268" s="559"/>
      <c r="G3268" s="558"/>
      <c r="H3268" s="559"/>
      <c r="I3268" s="559"/>
      <c r="J3268" s="559"/>
      <c r="K3268" s="560"/>
      <c r="L3268" s="560"/>
      <c r="M3268" s="560"/>
    </row>
    <row r="3269" spans="3:13" s="338" customFormat="1">
      <c r="C3269" s="558"/>
      <c r="D3269" s="559"/>
      <c r="E3269" s="559"/>
      <c r="F3269" s="559"/>
      <c r="G3269" s="558"/>
      <c r="H3269" s="559"/>
      <c r="I3269" s="559"/>
      <c r="J3269" s="559"/>
      <c r="K3269" s="560"/>
      <c r="L3269" s="560"/>
      <c r="M3269" s="560"/>
    </row>
    <row r="3270" spans="3:13" s="338" customFormat="1">
      <c r="C3270" s="558"/>
      <c r="D3270" s="559"/>
      <c r="E3270" s="559"/>
      <c r="F3270" s="559"/>
      <c r="G3270" s="558"/>
      <c r="H3270" s="559"/>
      <c r="I3270" s="559"/>
      <c r="J3270" s="559"/>
      <c r="K3270" s="560"/>
      <c r="L3270" s="560"/>
      <c r="M3270" s="560"/>
    </row>
    <row r="3271" spans="3:13" s="338" customFormat="1">
      <c r="C3271" s="558"/>
      <c r="D3271" s="559"/>
      <c r="E3271" s="559"/>
      <c r="F3271" s="559"/>
      <c r="G3271" s="558"/>
      <c r="H3271" s="559"/>
      <c r="I3271" s="559"/>
      <c r="J3271" s="559"/>
      <c r="K3271" s="560"/>
      <c r="L3271" s="560"/>
      <c r="M3271" s="560"/>
    </row>
    <row r="3272" spans="3:13" s="338" customFormat="1">
      <c r="C3272" s="558"/>
      <c r="D3272" s="559"/>
      <c r="E3272" s="559"/>
      <c r="F3272" s="559"/>
      <c r="G3272" s="558"/>
      <c r="H3272" s="559"/>
      <c r="I3272" s="559"/>
      <c r="J3272" s="559"/>
      <c r="K3272" s="560"/>
      <c r="L3272" s="560"/>
      <c r="M3272" s="560"/>
    </row>
    <row r="3273" spans="3:13" s="338" customFormat="1">
      <c r="C3273" s="558"/>
      <c r="D3273" s="559"/>
      <c r="E3273" s="559"/>
      <c r="F3273" s="559"/>
      <c r="G3273" s="558"/>
      <c r="H3273" s="559"/>
      <c r="I3273" s="559"/>
      <c r="J3273" s="559"/>
      <c r="K3273" s="560"/>
      <c r="L3273" s="560"/>
      <c r="M3273" s="560"/>
    </row>
    <row r="3274" spans="3:13" s="338" customFormat="1">
      <c r="C3274" s="558"/>
      <c r="D3274" s="559"/>
      <c r="E3274" s="559"/>
      <c r="F3274" s="559"/>
      <c r="G3274" s="558"/>
      <c r="H3274" s="559"/>
      <c r="I3274" s="559"/>
      <c r="J3274" s="559"/>
      <c r="K3274" s="560"/>
      <c r="L3274" s="560"/>
      <c r="M3274" s="560"/>
    </row>
    <row r="3275" spans="3:13" s="338" customFormat="1">
      <c r="C3275" s="558"/>
      <c r="D3275" s="559"/>
      <c r="E3275" s="559"/>
      <c r="F3275" s="559"/>
      <c r="G3275" s="558"/>
      <c r="H3275" s="559"/>
      <c r="I3275" s="559"/>
      <c r="J3275" s="559"/>
      <c r="K3275" s="560"/>
      <c r="L3275" s="560"/>
      <c r="M3275" s="560"/>
    </row>
    <row r="3276" spans="3:13" s="338" customFormat="1">
      <c r="C3276" s="558"/>
      <c r="D3276" s="559"/>
      <c r="E3276" s="559"/>
      <c r="F3276" s="559"/>
      <c r="G3276" s="558"/>
      <c r="H3276" s="559"/>
      <c r="I3276" s="559"/>
      <c r="J3276" s="559"/>
      <c r="K3276" s="560"/>
      <c r="L3276" s="560"/>
      <c r="M3276" s="560"/>
    </row>
    <row r="3277" spans="3:13" s="338" customFormat="1">
      <c r="C3277" s="558"/>
      <c r="D3277" s="559"/>
      <c r="E3277" s="559"/>
      <c r="F3277" s="559"/>
      <c r="G3277" s="558"/>
      <c r="H3277" s="559"/>
      <c r="I3277" s="559"/>
      <c r="J3277" s="559"/>
      <c r="K3277" s="560"/>
      <c r="L3277" s="560"/>
      <c r="M3277" s="560"/>
    </row>
    <row r="3278" spans="3:13" s="338" customFormat="1">
      <c r="C3278" s="558"/>
      <c r="D3278" s="559"/>
      <c r="E3278" s="559"/>
      <c r="F3278" s="559"/>
      <c r="G3278" s="558"/>
      <c r="H3278" s="559"/>
      <c r="I3278" s="559"/>
      <c r="J3278" s="559"/>
      <c r="K3278" s="560"/>
      <c r="L3278" s="560"/>
      <c r="M3278" s="560"/>
    </row>
    <row r="3279" spans="3:13" s="338" customFormat="1">
      <c r="C3279" s="558"/>
      <c r="D3279" s="559"/>
      <c r="E3279" s="559"/>
      <c r="F3279" s="559"/>
      <c r="G3279" s="558"/>
      <c r="H3279" s="559"/>
      <c r="I3279" s="559"/>
      <c r="J3279" s="559"/>
      <c r="K3279" s="560"/>
      <c r="L3279" s="560"/>
      <c r="M3279" s="560"/>
    </row>
    <row r="3280" spans="3:13" s="338" customFormat="1">
      <c r="C3280" s="558"/>
      <c r="D3280" s="559"/>
      <c r="E3280" s="559"/>
      <c r="F3280" s="559"/>
      <c r="G3280" s="558"/>
      <c r="H3280" s="559"/>
      <c r="I3280" s="559"/>
      <c r="J3280" s="559"/>
      <c r="K3280" s="560"/>
      <c r="L3280" s="560"/>
      <c r="M3280" s="560"/>
    </row>
    <row r="3281" spans="3:13" s="338" customFormat="1">
      <c r="C3281" s="558"/>
      <c r="D3281" s="559"/>
      <c r="E3281" s="559"/>
      <c r="F3281" s="559"/>
      <c r="G3281" s="558"/>
      <c r="H3281" s="559"/>
      <c r="I3281" s="559"/>
      <c r="J3281" s="559"/>
      <c r="K3281" s="560"/>
      <c r="L3281" s="560"/>
      <c r="M3281" s="560"/>
    </row>
    <row r="3282" spans="3:13" s="338" customFormat="1">
      <c r="C3282" s="558"/>
      <c r="D3282" s="559"/>
      <c r="E3282" s="559"/>
      <c r="F3282" s="559"/>
      <c r="G3282" s="558"/>
      <c r="H3282" s="559"/>
      <c r="I3282" s="559"/>
      <c r="J3282" s="559"/>
      <c r="K3282" s="560"/>
      <c r="L3282" s="560"/>
      <c r="M3282" s="560"/>
    </row>
    <row r="3283" spans="3:13" s="338" customFormat="1">
      <c r="C3283" s="558"/>
      <c r="D3283" s="559"/>
      <c r="E3283" s="559"/>
      <c r="F3283" s="559"/>
      <c r="G3283" s="558"/>
      <c r="H3283" s="559"/>
      <c r="I3283" s="559"/>
      <c r="J3283" s="559"/>
      <c r="K3283" s="560"/>
      <c r="L3283" s="560"/>
      <c r="M3283" s="560"/>
    </row>
    <row r="3284" spans="3:13" s="338" customFormat="1">
      <c r="C3284" s="558"/>
      <c r="D3284" s="559"/>
      <c r="E3284" s="559"/>
      <c r="F3284" s="559"/>
      <c r="G3284" s="558"/>
      <c r="H3284" s="559"/>
      <c r="I3284" s="559"/>
      <c r="J3284" s="559"/>
      <c r="K3284" s="560"/>
      <c r="L3284" s="560"/>
      <c r="M3284" s="560"/>
    </row>
    <row r="3285" spans="3:13" s="338" customFormat="1">
      <c r="C3285" s="558"/>
      <c r="D3285" s="559"/>
      <c r="E3285" s="559"/>
      <c r="F3285" s="559"/>
      <c r="G3285" s="558"/>
      <c r="H3285" s="559"/>
      <c r="I3285" s="559"/>
      <c r="J3285" s="559"/>
      <c r="K3285" s="560"/>
      <c r="L3285" s="560"/>
      <c r="M3285" s="560"/>
    </row>
    <row r="3286" spans="3:13" s="338" customFormat="1">
      <c r="C3286" s="558"/>
      <c r="D3286" s="559"/>
      <c r="E3286" s="559"/>
      <c r="F3286" s="559"/>
      <c r="G3286" s="558"/>
      <c r="H3286" s="559"/>
      <c r="I3286" s="559"/>
      <c r="J3286" s="559"/>
      <c r="K3286" s="560"/>
      <c r="L3286" s="560"/>
      <c r="M3286" s="560"/>
    </row>
    <row r="3287" spans="3:13" s="338" customFormat="1">
      <c r="C3287" s="558"/>
      <c r="D3287" s="559"/>
      <c r="E3287" s="559"/>
      <c r="F3287" s="559"/>
      <c r="G3287" s="558"/>
      <c r="H3287" s="559"/>
      <c r="I3287" s="559"/>
      <c r="J3287" s="559"/>
      <c r="K3287" s="560"/>
      <c r="L3287" s="560"/>
      <c r="M3287" s="560"/>
    </row>
    <row r="3288" spans="3:13" s="338" customFormat="1">
      <c r="C3288" s="558"/>
      <c r="D3288" s="559"/>
      <c r="E3288" s="559"/>
      <c r="F3288" s="559"/>
      <c r="G3288" s="558"/>
      <c r="H3288" s="559"/>
      <c r="I3288" s="559"/>
      <c r="J3288" s="559"/>
      <c r="K3288" s="560"/>
      <c r="L3288" s="560"/>
      <c r="M3288" s="560"/>
    </row>
    <row r="3289" spans="3:13" s="338" customFormat="1">
      <c r="C3289" s="558"/>
      <c r="D3289" s="559"/>
      <c r="E3289" s="559"/>
      <c r="F3289" s="559"/>
      <c r="G3289" s="558"/>
      <c r="H3289" s="559"/>
      <c r="I3289" s="559"/>
      <c r="J3289" s="559"/>
      <c r="K3289" s="560"/>
      <c r="L3289" s="560"/>
      <c r="M3289" s="560"/>
    </row>
    <row r="3290" spans="3:13" s="338" customFormat="1">
      <c r="C3290" s="558"/>
      <c r="D3290" s="559"/>
      <c r="E3290" s="559"/>
      <c r="F3290" s="559"/>
      <c r="G3290" s="558"/>
      <c r="H3290" s="559"/>
      <c r="I3290" s="559"/>
      <c r="J3290" s="559"/>
      <c r="K3290" s="560"/>
      <c r="L3290" s="560"/>
      <c r="M3290" s="560"/>
    </row>
    <row r="3291" spans="3:13" s="338" customFormat="1">
      <c r="C3291" s="558"/>
      <c r="D3291" s="559"/>
      <c r="E3291" s="559"/>
      <c r="F3291" s="559"/>
      <c r="G3291" s="558"/>
      <c r="H3291" s="559"/>
      <c r="I3291" s="559"/>
      <c r="J3291" s="559"/>
      <c r="K3291" s="560"/>
      <c r="L3291" s="560"/>
      <c r="M3291" s="560"/>
    </row>
    <row r="3292" spans="3:13" s="338" customFormat="1">
      <c r="C3292" s="558"/>
      <c r="D3292" s="559"/>
      <c r="E3292" s="559"/>
      <c r="F3292" s="559"/>
      <c r="G3292" s="558"/>
      <c r="H3292" s="559"/>
      <c r="I3292" s="559"/>
      <c r="J3292" s="559"/>
      <c r="K3292" s="560"/>
      <c r="L3292" s="560"/>
      <c r="M3292" s="560"/>
    </row>
    <row r="3293" spans="3:13" s="338" customFormat="1">
      <c r="C3293" s="558"/>
      <c r="D3293" s="559"/>
      <c r="E3293" s="559"/>
      <c r="F3293" s="559"/>
      <c r="G3293" s="558"/>
      <c r="H3293" s="559"/>
      <c r="I3293" s="559"/>
      <c r="J3293" s="559"/>
      <c r="K3293" s="560"/>
      <c r="L3293" s="560"/>
      <c r="M3293" s="560"/>
    </row>
    <row r="3294" spans="3:13" s="338" customFormat="1">
      <c r="C3294" s="558"/>
      <c r="D3294" s="559"/>
      <c r="E3294" s="559"/>
      <c r="F3294" s="559"/>
      <c r="G3294" s="558"/>
      <c r="H3294" s="559"/>
      <c r="I3294" s="559"/>
      <c r="J3294" s="559"/>
      <c r="K3294" s="560"/>
      <c r="L3294" s="560"/>
      <c r="M3294" s="560"/>
    </row>
    <row r="3295" spans="3:13" s="338" customFormat="1">
      <c r="C3295" s="558"/>
      <c r="D3295" s="559"/>
      <c r="E3295" s="559"/>
      <c r="F3295" s="559"/>
      <c r="G3295" s="558"/>
      <c r="H3295" s="559"/>
      <c r="I3295" s="559"/>
      <c r="J3295" s="559"/>
      <c r="K3295" s="560"/>
      <c r="L3295" s="560"/>
      <c r="M3295" s="560"/>
    </row>
    <row r="3296" spans="3:13" s="338" customFormat="1">
      <c r="C3296" s="558"/>
      <c r="D3296" s="559"/>
      <c r="E3296" s="559"/>
      <c r="F3296" s="559"/>
      <c r="G3296" s="558"/>
      <c r="H3296" s="559"/>
      <c r="I3296" s="559"/>
      <c r="J3296" s="559"/>
      <c r="K3296" s="560"/>
      <c r="L3296" s="560"/>
      <c r="M3296" s="560"/>
    </row>
    <row r="3297" spans="3:13" s="338" customFormat="1">
      <c r="C3297" s="558"/>
      <c r="D3297" s="559"/>
      <c r="E3297" s="559"/>
      <c r="F3297" s="559"/>
      <c r="G3297" s="558"/>
      <c r="H3297" s="559"/>
      <c r="I3297" s="559"/>
      <c r="J3297" s="559"/>
      <c r="K3297" s="560"/>
      <c r="L3297" s="560"/>
      <c r="M3297" s="560"/>
    </row>
    <row r="3298" spans="3:13" s="338" customFormat="1">
      <c r="C3298" s="558"/>
      <c r="D3298" s="559"/>
      <c r="E3298" s="559"/>
      <c r="F3298" s="559"/>
      <c r="G3298" s="558"/>
      <c r="H3298" s="559"/>
      <c r="I3298" s="559"/>
      <c r="J3298" s="559"/>
      <c r="K3298" s="560"/>
      <c r="L3298" s="560"/>
      <c r="M3298" s="560"/>
    </row>
    <row r="3299" spans="3:13" s="338" customFormat="1">
      <c r="C3299" s="558"/>
      <c r="D3299" s="559"/>
      <c r="E3299" s="559"/>
      <c r="F3299" s="559"/>
      <c r="G3299" s="558"/>
      <c r="H3299" s="559"/>
      <c r="I3299" s="559"/>
      <c r="J3299" s="559"/>
      <c r="K3299" s="560"/>
      <c r="L3299" s="560"/>
      <c r="M3299" s="560"/>
    </row>
    <row r="3300" spans="3:13" s="338" customFormat="1">
      <c r="C3300" s="558"/>
      <c r="D3300" s="559"/>
      <c r="E3300" s="559"/>
      <c r="F3300" s="559"/>
      <c r="G3300" s="558"/>
      <c r="H3300" s="559"/>
      <c r="I3300" s="559"/>
      <c r="J3300" s="559"/>
      <c r="K3300" s="560"/>
      <c r="L3300" s="560"/>
      <c r="M3300" s="560"/>
    </row>
    <row r="3301" spans="3:13" s="338" customFormat="1">
      <c r="C3301" s="558"/>
      <c r="D3301" s="559"/>
      <c r="E3301" s="559"/>
      <c r="F3301" s="559"/>
      <c r="G3301" s="558"/>
      <c r="H3301" s="559"/>
      <c r="I3301" s="559"/>
      <c r="J3301" s="559"/>
      <c r="K3301" s="560"/>
      <c r="L3301" s="560"/>
      <c r="M3301" s="560"/>
    </row>
    <row r="3302" spans="3:13" s="338" customFormat="1">
      <c r="C3302" s="558"/>
      <c r="D3302" s="559"/>
      <c r="E3302" s="559"/>
      <c r="F3302" s="559"/>
      <c r="G3302" s="558"/>
      <c r="H3302" s="559"/>
      <c r="I3302" s="559"/>
      <c r="J3302" s="559"/>
      <c r="K3302" s="560"/>
      <c r="L3302" s="560"/>
      <c r="M3302" s="560"/>
    </row>
    <row r="3303" spans="3:13" s="338" customFormat="1">
      <c r="C3303" s="558"/>
      <c r="D3303" s="559"/>
      <c r="E3303" s="559"/>
      <c r="F3303" s="559"/>
      <c r="G3303" s="558"/>
      <c r="H3303" s="559"/>
      <c r="I3303" s="559"/>
      <c r="J3303" s="559"/>
      <c r="K3303" s="560"/>
      <c r="L3303" s="560"/>
      <c r="M3303" s="560"/>
    </row>
    <row r="3304" spans="3:13" s="338" customFormat="1">
      <c r="C3304" s="558"/>
      <c r="D3304" s="559"/>
      <c r="E3304" s="559"/>
      <c r="F3304" s="559"/>
      <c r="G3304" s="558"/>
      <c r="H3304" s="559"/>
      <c r="I3304" s="559"/>
      <c r="J3304" s="559"/>
      <c r="K3304" s="560"/>
      <c r="L3304" s="560"/>
      <c r="M3304" s="560"/>
    </row>
    <row r="3305" spans="3:13" s="338" customFormat="1">
      <c r="C3305" s="558"/>
      <c r="D3305" s="559"/>
      <c r="E3305" s="559"/>
      <c r="F3305" s="559"/>
      <c r="G3305" s="558"/>
      <c r="H3305" s="559"/>
      <c r="I3305" s="559"/>
      <c r="J3305" s="559"/>
      <c r="K3305" s="560"/>
      <c r="L3305" s="560"/>
      <c r="M3305" s="560"/>
    </row>
    <row r="3306" spans="3:13" s="338" customFormat="1">
      <c r="C3306" s="558"/>
      <c r="D3306" s="559"/>
      <c r="E3306" s="559"/>
      <c r="F3306" s="559"/>
      <c r="G3306" s="558"/>
      <c r="H3306" s="559"/>
      <c r="I3306" s="559"/>
      <c r="J3306" s="559"/>
      <c r="K3306" s="560"/>
      <c r="L3306" s="560"/>
      <c r="M3306" s="560"/>
    </row>
    <row r="3307" spans="3:13" s="338" customFormat="1">
      <c r="C3307" s="558"/>
      <c r="D3307" s="559"/>
      <c r="E3307" s="559"/>
      <c r="F3307" s="559"/>
      <c r="G3307" s="558"/>
      <c r="H3307" s="559"/>
      <c r="I3307" s="559"/>
      <c r="J3307" s="559"/>
      <c r="K3307" s="560"/>
      <c r="L3307" s="560"/>
      <c r="M3307" s="560"/>
    </row>
    <row r="3308" spans="3:13" s="338" customFormat="1">
      <c r="C3308" s="558"/>
      <c r="D3308" s="559"/>
      <c r="E3308" s="559"/>
      <c r="F3308" s="559"/>
      <c r="G3308" s="558"/>
      <c r="H3308" s="559"/>
      <c r="I3308" s="559"/>
      <c r="J3308" s="559"/>
      <c r="K3308" s="560"/>
      <c r="L3308" s="560"/>
      <c r="M3308" s="560"/>
    </row>
    <row r="3309" spans="3:13" s="338" customFormat="1">
      <c r="C3309" s="558"/>
      <c r="D3309" s="559"/>
      <c r="E3309" s="559"/>
      <c r="F3309" s="559"/>
      <c r="G3309" s="558"/>
      <c r="H3309" s="559"/>
      <c r="I3309" s="559"/>
      <c r="J3309" s="559"/>
      <c r="K3309" s="560"/>
      <c r="L3309" s="560"/>
      <c r="M3309" s="560"/>
    </row>
    <row r="3310" spans="3:13" s="338" customFormat="1">
      <c r="C3310" s="558"/>
      <c r="D3310" s="559"/>
      <c r="E3310" s="559"/>
      <c r="F3310" s="559"/>
      <c r="G3310" s="558"/>
      <c r="H3310" s="559"/>
      <c r="I3310" s="559"/>
      <c r="J3310" s="559"/>
      <c r="K3310" s="560"/>
      <c r="L3310" s="560"/>
      <c r="M3310" s="560"/>
    </row>
    <row r="3311" spans="3:13" s="338" customFormat="1">
      <c r="C3311" s="558"/>
      <c r="D3311" s="559"/>
      <c r="E3311" s="559"/>
      <c r="F3311" s="559"/>
      <c r="G3311" s="558"/>
      <c r="H3311" s="559"/>
      <c r="I3311" s="559"/>
      <c r="J3311" s="559"/>
      <c r="K3311" s="560"/>
      <c r="L3311" s="560"/>
      <c r="M3311" s="560"/>
    </row>
    <row r="3312" spans="3:13" s="338" customFormat="1">
      <c r="C3312" s="558"/>
      <c r="D3312" s="559"/>
      <c r="E3312" s="559"/>
      <c r="F3312" s="559"/>
      <c r="G3312" s="558"/>
      <c r="H3312" s="559"/>
      <c r="I3312" s="559"/>
      <c r="J3312" s="559"/>
      <c r="K3312" s="560"/>
      <c r="L3312" s="560"/>
      <c r="M3312" s="560"/>
    </row>
    <row r="3313" spans="3:13" s="338" customFormat="1">
      <c r="C3313" s="558"/>
      <c r="D3313" s="559"/>
      <c r="E3313" s="559"/>
      <c r="F3313" s="559"/>
      <c r="G3313" s="558"/>
      <c r="H3313" s="559"/>
      <c r="I3313" s="559"/>
      <c r="J3313" s="559"/>
      <c r="K3313" s="560"/>
      <c r="L3313" s="560"/>
      <c r="M3313" s="560"/>
    </row>
    <row r="3314" spans="3:13" s="338" customFormat="1">
      <c r="C3314" s="558"/>
      <c r="D3314" s="559"/>
      <c r="E3314" s="559"/>
      <c r="F3314" s="559"/>
      <c r="G3314" s="558"/>
      <c r="H3314" s="559"/>
      <c r="I3314" s="559"/>
      <c r="J3314" s="559"/>
      <c r="K3314" s="560"/>
      <c r="L3314" s="560"/>
      <c r="M3314" s="560"/>
    </row>
    <row r="3315" spans="3:13" s="338" customFormat="1">
      <c r="C3315" s="558"/>
      <c r="D3315" s="559"/>
      <c r="E3315" s="559"/>
      <c r="F3315" s="559"/>
      <c r="G3315" s="558"/>
      <c r="H3315" s="559"/>
      <c r="I3315" s="559"/>
      <c r="J3315" s="559"/>
      <c r="K3315" s="560"/>
      <c r="L3315" s="560"/>
      <c r="M3315" s="560"/>
    </row>
    <row r="3316" spans="3:13" s="338" customFormat="1">
      <c r="C3316" s="558"/>
      <c r="D3316" s="559"/>
      <c r="E3316" s="559"/>
      <c r="F3316" s="559"/>
      <c r="G3316" s="558"/>
      <c r="H3316" s="559"/>
      <c r="I3316" s="559"/>
      <c r="J3316" s="559"/>
      <c r="K3316" s="560"/>
      <c r="L3316" s="560"/>
      <c r="M3316" s="560"/>
    </row>
    <row r="3317" spans="3:13" s="338" customFormat="1">
      <c r="C3317" s="558"/>
      <c r="D3317" s="559"/>
      <c r="E3317" s="559"/>
      <c r="F3317" s="559"/>
      <c r="G3317" s="558"/>
      <c r="H3317" s="559"/>
      <c r="I3317" s="559"/>
      <c r="J3317" s="559"/>
      <c r="K3317" s="560"/>
      <c r="L3317" s="560"/>
      <c r="M3317" s="560"/>
    </row>
    <row r="3318" spans="3:13" s="338" customFormat="1">
      <c r="C3318" s="558"/>
      <c r="D3318" s="559"/>
      <c r="E3318" s="559"/>
      <c r="F3318" s="559"/>
      <c r="G3318" s="558"/>
      <c r="H3318" s="559"/>
      <c r="I3318" s="559"/>
      <c r="J3318" s="559"/>
      <c r="K3318" s="560"/>
      <c r="L3318" s="560"/>
      <c r="M3318" s="560"/>
    </row>
    <row r="3319" spans="3:13" s="338" customFormat="1">
      <c r="C3319" s="558"/>
      <c r="D3319" s="559"/>
      <c r="E3319" s="559"/>
      <c r="F3319" s="559"/>
      <c r="G3319" s="558"/>
      <c r="H3319" s="559"/>
      <c r="I3319" s="559"/>
      <c r="J3319" s="559"/>
      <c r="K3319" s="560"/>
      <c r="L3319" s="560"/>
      <c r="M3319" s="560"/>
    </row>
    <row r="3320" spans="3:13" s="338" customFormat="1">
      <c r="C3320" s="558"/>
      <c r="D3320" s="559"/>
      <c r="E3320" s="559"/>
      <c r="F3320" s="559"/>
      <c r="G3320" s="558"/>
      <c r="H3320" s="559"/>
      <c r="I3320" s="559"/>
      <c r="J3320" s="559"/>
      <c r="K3320" s="560"/>
      <c r="L3320" s="560"/>
      <c r="M3320" s="560"/>
    </row>
    <row r="3321" spans="3:13" s="338" customFormat="1">
      <c r="C3321" s="558"/>
      <c r="D3321" s="559"/>
      <c r="E3321" s="559"/>
      <c r="F3321" s="559"/>
      <c r="G3321" s="558"/>
      <c r="H3321" s="559"/>
      <c r="I3321" s="559"/>
      <c r="J3321" s="559"/>
      <c r="K3321" s="560"/>
      <c r="L3321" s="560"/>
      <c r="M3321" s="560"/>
    </row>
    <row r="3322" spans="3:13" s="338" customFormat="1">
      <c r="C3322" s="558"/>
      <c r="D3322" s="559"/>
      <c r="E3322" s="559"/>
      <c r="F3322" s="559"/>
      <c r="G3322" s="558"/>
      <c r="H3322" s="559"/>
      <c r="I3322" s="559"/>
      <c r="J3322" s="559"/>
      <c r="K3322" s="560"/>
      <c r="L3322" s="560"/>
      <c r="M3322" s="560"/>
    </row>
    <row r="3323" spans="3:13" s="338" customFormat="1">
      <c r="C3323" s="558"/>
      <c r="D3323" s="559"/>
      <c r="E3323" s="559"/>
      <c r="F3323" s="559"/>
      <c r="G3323" s="558"/>
      <c r="H3323" s="559"/>
      <c r="I3323" s="559"/>
      <c r="J3323" s="559"/>
      <c r="K3323" s="560"/>
      <c r="L3323" s="560"/>
      <c r="M3323" s="560"/>
    </row>
    <row r="3324" spans="3:13" s="338" customFormat="1">
      <c r="C3324" s="558"/>
      <c r="D3324" s="559"/>
      <c r="E3324" s="559"/>
      <c r="F3324" s="559"/>
      <c r="G3324" s="558"/>
      <c r="H3324" s="559"/>
      <c r="I3324" s="559"/>
      <c r="J3324" s="559"/>
      <c r="K3324" s="560"/>
      <c r="L3324" s="560"/>
      <c r="M3324" s="560"/>
    </row>
    <row r="3325" spans="3:13" s="338" customFormat="1">
      <c r="C3325" s="558"/>
      <c r="D3325" s="559"/>
      <c r="E3325" s="559"/>
      <c r="F3325" s="559"/>
      <c r="G3325" s="558"/>
      <c r="H3325" s="559"/>
      <c r="I3325" s="559"/>
      <c r="J3325" s="559"/>
      <c r="K3325" s="560"/>
      <c r="L3325" s="560"/>
      <c r="M3325" s="560"/>
    </row>
    <row r="3326" spans="3:13" s="338" customFormat="1">
      <c r="C3326" s="558"/>
      <c r="D3326" s="559"/>
      <c r="E3326" s="559"/>
      <c r="F3326" s="559"/>
      <c r="G3326" s="558"/>
      <c r="H3326" s="559"/>
      <c r="I3326" s="559"/>
      <c r="J3326" s="559"/>
      <c r="K3326" s="560"/>
      <c r="L3326" s="560"/>
      <c r="M3326" s="560"/>
    </row>
    <row r="3327" spans="3:13" s="338" customFormat="1">
      <c r="C3327" s="558"/>
      <c r="D3327" s="559"/>
      <c r="E3327" s="559"/>
      <c r="F3327" s="559"/>
      <c r="G3327" s="558"/>
      <c r="H3327" s="559"/>
      <c r="I3327" s="559"/>
      <c r="J3327" s="559"/>
      <c r="K3327" s="560"/>
      <c r="L3327" s="560"/>
      <c r="M3327" s="560"/>
    </row>
    <row r="3328" spans="3:13" s="338" customFormat="1">
      <c r="C3328" s="558"/>
      <c r="D3328" s="559"/>
      <c r="E3328" s="559"/>
      <c r="F3328" s="559"/>
      <c r="G3328" s="558"/>
      <c r="H3328" s="559"/>
      <c r="I3328" s="559"/>
      <c r="J3328" s="559"/>
      <c r="K3328" s="560"/>
      <c r="L3328" s="560"/>
      <c r="M3328" s="560"/>
    </row>
    <row r="3329" spans="3:13" s="338" customFormat="1">
      <c r="C3329" s="558"/>
      <c r="D3329" s="559"/>
      <c r="E3329" s="559"/>
      <c r="F3329" s="559"/>
      <c r="G3329" s="558"/>
      <c r="H3329" s="559"/>
      <c r="I3329" s="559"/>
      <c r="J3329" s="559"/>
      <c r="K3329" s="560"/>
      <c r="L3329" s="560"/>
      <c r="M3329" s="560"/>
    </row>
    <row r="3330" spans="3:13" s="338" customFormat="1">
      <c r="C3330" s="558"/>
      <c r="D3330" s="559"/>
      <c r="E3330" s="559"/>
      <c r="F3330" s="559"/>
      <c r="G3330" s="558"/>
      <c r="H3330" s="559"/>
      <c r="I3330" s="559"/>
      <c r="J3330" s="559"/>
      <c r="K3330" s="560"/>
      <c r="L3330" s="560"/>
      <c r="M3330" s="560"/>
    </row>
    <row r="3331" spans="3:13" s="338" customFormat="1">
      <c r="C3331" s="558"/>
      <c r="D3331" s="559"/>
      <c r="E3331" s="559"/>
      <c r="F3331" s="559"/>
      <c r="G3331" s="558"/>
      <c r="H3331" s="559"/>
      <c r="I3331" s="559"/>
      <c r="J3331" s="559"/>
      <c r="K3331" s="560"/>
      <c r="L3331" s="560"/>
      <c r="M3331" s="560"/>
    </row>
    <row r="3332" spans="3:13" s="338" customFormat="1">
      <c r="C3332" s="558"/>
      <c r="D3332" s="559"/>
      <c r="E3332" s="559"/>
      <c r="F3332" s="559"/>
      <c r="G3332" s="558"/>
      <c r="H3332" s="559"/>
      <c r="I3332" s="559"/>
      <c r="J3332" s="559"/>
      <c r="K3332" s="560"/>
      <c r="L3332" s="560"/>
      <c r="M3332" s="560"/>
    </row>
    <row r="3333" spans="3:13" s="338" customFormat="1">
      <c r="C3333" s="558"/>
      <c r="D3333" s="559"/>
      <c r="E3333" s="559"/>
      <c r="F3333" s="559"/>
      <c r="G3333" s="558"/>
      <c r="H3333" s="559"/>
      <c r="I3333" s="559"/>
      <c r="J3333" s="559"/>
      <c r="K3333" s="560"/>
      <c r="L3333" s="560"/>
      <c r="M3333" s="560"/>
    </row>
    <row r="3334" spans="3:13" s="338" customFormat="1">
      <c r="C3334" s="558"/>
      <c r="D3334" s="559"/>
      <c r="E3334" s="559"/>
      <c r="F3334" s="559"/>
      <c r="G3334" s="558"/>
      <c r="H3334" s="559"/>
      <c r="I3334" s="559"/>
      <c r="J3334" s="559"/>
      <c r="K3334" s="560"/>
      <c r="L3334" s="560"/>
      <c r="M3334" s="560"/>
    </row>
    <row r="3335" spans="3:13" s="338" customFormat="1">
      <c r="C3335" s="558"/>
      <c r="D3335" s="559"/>
      <c r="E3335" s="559"/>
      <c r="F3335" s="559"/>
      <c r="G3335" s="558"/>
      <c r="H3335" s="559"/>
      <c r="I3335" s="559"/>
      <c r="J3335" s="559"/>
      <c r="K3335" s="560"/>
      <c r="L3335" s="560"/>
      <c r="M3335" s="560"/>
    </row>
    <row r="3336" spans="3:13" s="338" customFormat="1">
      <c r="C3336" s="558"/>
      <c r="D3336" s="559"/>
      <c r="E3336" s="559"/>
      <c r="F3336" s="559"/>
      <c r="G3336" s="558"/>
      <c r="H3336" s="559"/>
      <c r="I3336" s="559"/>
      <c r="J3336" s="559"/>
      <c r="K3336" s="560"/>
      <c r="L3336" s="560"/>
      <c r="M3336" s="560"/>
    </row>
    <row r="3337" spans="3:13" s="338" customFormat="1">
      <c r="C3337" s="558"/>
      <c r="D3337" s="559"/>
      <c r="E3337" s="559"/>
      <c r="F3337" s="559"/>
      <c r="G3337" s="558"/>
      <c r="H3337" s="559"/>
      <c r="I3337" s="559"/>
      <c r="J3337" s="559"/>
      <c r="K3337" s="560"/>
      <c r="L3337" s="560"/>
      <c r="M3337" s="560"/>
    </row>
    <row r="3338" spans="3:13" s="338" customFormat="1">
      <c r="C3338" s="558"/>
      <c r="D3338" s="559"/>
      <c r="E3338" s="559"/>
      <c r="F3338" s="559"/>
      <c r="G3338" s="558"/>
      <c r="H3338" s="559"/>
      <c r="I3338" s="559"/>
      <c r="J3338" s="559"/>
      <c r="K3338" s="560"/>
      <c r="L3338" s="560"/>
      <c r="M3338" s="560"/>
    </row>
    <row r="3339" spans="3:13" s="338" customFormat="1">
      <c r="C3339" s="558"/>
      <c r="D3339" s="559"/>
      <c r="E3339" s="559"/>
      <c r="F3339" s="559"/>
      <c r="G3339" s="558"/>
      <c r="H3339" s="559"/>
      <c r="I3339" s="559"/>
      <c r="J3339" s="559"/>
      <c r="K3339" s="560"/>
      <c r="L3339" s="560"/>
      <c r="M3339" s="560"/>
    </row>
    <row r="3340" spans="3:13" s="338" customFormat="1">
      <c r="C3340" s="558"/>
      <c r="D3340" s="559"/>
      <c r="E3340" s="559"/>
      <c r="F3340" s="559"/>
      <c r="G3340" s="558"/>
      <c r="H3340" s="559"/>
      <c r="I3340" s="559"/>
      <c r="J3340" s="559"/>
      <c r="K3340" s="560"/>
      <c r="L3340" s="560"/>
      <c r="M3340" s="560"/>
    </row>
    <row r="3341" spans="3:13" s="338" customFormat="1">
      <c r="C3341" s="558"/>
      <c r="D3341" s="559"/>
      <c r="E3341" s="559"/>
      <c r="F3341" s="559"/>
      <c r="G3341" s="558"/>
      <c r="H3341" s="559"/>
      <c r="I3341" s="559"/>
      <c r="J3341" s="559"/>
      <c r="K3341" s="560"/>
      <c r="L3341" s="560"/>
      <c r="M3341" s="560"/>
    </row>
    <row r="3342" spans="3:13" s="338" customFormat="1">
      <c r="C3342" s="558"/>
      <c r="D3342" s="559"/>
      <c r="E3342" s="559"/>
      <c r="F3342" s="559"/>
      <c r="G3342" s="558"/>
      <c r="H3342" s="559"/>
      <c r="I3342" s="559"/>
      <c r="J3342" s="559"/>
      <c r="K3342" s="560"/>
      <c r="L3342" s="560"/>
      <c r="M3342" s="560"/>
    </row>
    <row r="3343" spans="3:13" s="338" customFormat="1">
      <c r="C3343" s="558"/>
      <c r="D3343" s="559"/>
      <c r="E3343" s="559"/>
      <c r="F3343" s="559"/>
      <c r="G3343" s="558"/>
      <c r="H3343" s="559"/>
      <c r="I3343" s="559"/>
      <c r="J3343" s="559"/>
      <c r="K3343" s="560"/>
      <c r="L3343" s="560"/>
      <c r="M3343" s="560"/>
    </row>
    <row r="3344" spans="3:13" s="338" customFormat="1">
      <c r="C3344" s="558"/>
      <c r="D3344" s="559"/>
      <c r="E3344" s="559"/>
      <c r="F3344" s="559"/>
      <c r="G3344" s="558"/>
      <c r="H3344" s="559"/>
      <c r="I3344" s="559"/>
      <c r="J3344" s="559"/>
      <c r="K3344" s="560"/>
      <c r="L3344" s="560"/>
      <c r="M3344" s="560"/>
    </row>
    <row r="3345" spans="3:13" s="338" customFormat="1">
      <c r="C3345" s="558"/>
      <c r="D3345" s="559"/>
      <c r="E3345" s="559"/>
      <c r="F3345" s="559"/>
      <c r="G3345" s="558"/>
      <c r="H3345" s="559"/>
      <c r="I3345" s="559"/>
      <c r="J3345" s="559"/>
      <c r="K3345" s="560"/>
      <c r="L3345" s="560"/>
      <c r="M3345" s="560"/>
    </row>
    <row r="3346" spans="3:13" s="338" customFormat="1">
      <c r="C3346" s="558"/>
      <c r="D3346" s="559"/>
      <c r="E3346" s="559"/>
      <c r="F3346" s="559"/>
      <c r="G3346" s="558"/>
      <c r="H3346" s="559"/>
      <c r="I3346" s="559"/>
      <c r="J3346" s="559"/>
      <c r="K3346" s="560"/>
      <c r="L3346" s="560"/>
      <c r="M3346" s="560"/>
    </row>
    <row r="3347" spans="3:13" s="338" customFormat="1">
      <c r="C3347" s="558"/>
      <c r="D3347" s="559"/>
      <c r="E3347" s="559"/>
      <c r="F3347" s="559"/>
      <c r="G3347" s="558"/>
      <c r="H3347" s="559"/>
      <c r="I3347" s="559"/>
      <c r="J3347" s="559"/>
      <c r="K3347" s="560"/>
      <c r="L3347" s="560"/>
      <c r="M3347" s="560"/>
    </row>
    <row r="3348" spans="3:13" s="338" customFormat="1">
      <c r="C3348" s="558"/>
      <c r="D3348" s="559"/>
      <c r="E3348" s="559"/>
      <c r="F3348" s="559"/>
      <c r="G3348" s="558"/>
      <c r="H3348" s="559"/>
      <c r="I3348" s="559"/>
      <c r="J3348" s="559"/>
      <c r="K3348" s="560"/>
      <c r="L3348" s="560"/>
      <c r="M3348" s="560"/>
    </row>
    <row r="3349" spans="3:13" s="338" customFormat="1">
      <c r="C3349" s="558"/>
      <c r="D3349" s="559"/>
      <c r="E3349" s="559"/>
      <c r="F3349" s="559"/>
      <c r="G3349" s="558"/>
      <c r="H3349" s="559"/>
      <c r="I3349" s="559"/>
      <c r="J3349" s="559"/>
      <c r="K3349" s="560"/>
      <c r="L3349" s="560"/>
      <c r="M3349" s="560"/>
    </row>
    <row r="3350" spans="3:13" s="338" customFormat="1">
      <c r="C3350" s="558"/>
      <c r="D3350" s="559"/>
      <c r="E3350" s="559"/>
      <c r="F3350" s="559"/>
      <c r="G3350" s="558"/>
      <c r="H3350" s="559"/>
      <c r="I3350" s="559"/>
      <c r="J3350" s="559"/>
      <c r="K3350" s="560"/>
      <c r="L3350" s="560"/>
      <c r="M3350" s="560"/>
    </row>
    <row r="3351" spans="3:13" s="338" customFormat="1">
      <c r="C3351" s="558"/>
      <c r="D3351" s="559"/>
      <c r="E3351" s="559"/>
      <c r="F3351" s="559"/>
      <c r="G3351" s="558"/>
      <c r="H3351" s="559"/>
      <c r="I3351" s="559"/>
      <c r="J3351" s="559"/>
      <c r="K3351" s="560"/>
      <c r="L3351" s="560"/>
      <c r="M3351" s="560"/>
    </row>
    <row r="3352" spans="3:13" s="338" customFormat="1">
      <c r="C3352" s="558"/>
      <c r="D3352" s="559"/>
      <c r="E3352" s="559"/>
      <c r="F3352" s="559"/>
      <c r="G3352" s="558"/>
      <c r="H3352" s="559"/>
      <c r="I3352" s="559"/>
      <c r="J3352" s="559"/>
      <c r="K3352" s="560"/>
      <c r="L3352" s="560"/>
      <c r="M3352" s="560"/>
    </row>
    <row r="3353" spans="3:13" s="338" customFormat="1">
      <c r="C3353" s="558"/>
      <c r="D3353" s="559"/>
      <c r="E3353" s="559"/>
      <c r="F3353" s="559"/>
      <c r="G3353" s="558"/>
      <c r="H3353" s="559"/>
      <c r="I3353" s="559"/>
      <c r="J3353" s="559"/>
      <c r="K3353" s="560"/>
      <c r="L3353" s="560"/>
      <c r="M3353" s="560"/>
    </row>
    <row r="3354" spans="3:13" s="338" customFormat="1">
      <c r="C3354" s="558"/>
      <c r="D3354" s="559"/>
      <c r="E3354" s="559"/>
      <c r="F3354" s="559"/>
      <c r="G3354" s="558"/>
      <c r="H3354" s="559"/>
      <c r="I3354" s="559"/>
      <c r="J3354" s="559"/>
      <c r="K3354" s="560"/>
      <c r="L3354" s="560"/>
      <c r="M3354" s="560"/>
    </row>
    <row r="3355" spans="3:13" s="338" customFormat="1">
      <c r="C3355" s="558"/>
      <c r="D3355" s="559"/>
      <c r="E3355" s="559"/>
      <c r="F3355" s="559"/>
      <c r="G3355" s="558"/>
      <c r="H3355" s="559"/>
      <c r="I3355" s="559"/>
      <c r="J3355" s="559"/>
      <c r="K3355" s="560"/>
      <c r="L3355" s="560"/>
      <c r="M3355" s="560"/>
    </row>
    <row r="3356" spans="3:13" s="338" customFormat="1">
      <c r="C3356" s="558"/>
      <c r="D3356" s="559"/>
      <c r="E3356" s="559"/>
      <c r="F3356" s="559"/>
      <c r="G3356" s="558"/>
      <c r="H3356" s="559"/>
      <c r="I3356" s="559"/>
      <c r="J3356" s="559"/>
      <c r="K3356" s="560"/>
      <c r="L3356" s="560"/>
      <c r="M3356" s="560"/>
    </row>
    <row r="3357" spans="3:13" s="338" customFormat="1">
      <c r="C3357" s="558"/>
      <c r="D3357" s="559"/>
      <c r="E3357" s="559"/>
      <c r="F3357" s="559"/>
      <c r="G3357" s="558"/>
      <c r="H3357" s="559"/>
      <c r="I3357" s="559"/>
      <c r="J3357" s="559"/>
      <c r="K3357" s="560"/>
      <c r="L3357" s="560"/>
      <c r="M3357" s="560"/>
    </row>
    <row r="3358" spans="3:13" s="338" customFormat="1">
      <c r="C3358" s="558"/>
      <c r="D3358" s="559"/>
      <c r="E3358" s="559"/>
      <c r="F3358" s="559"/>
      <c r="G3358" s="558"/>
      <c r="H3358" s="559"/>
      <c r="I3358" s="559"/>
      <c r="J3358" s="559"/>
      <c r="K3358" s="560"/>
      <c r="L3358" s="560"/>
      <c r="M3358" s="560"/>
    </row>
    <row r="3359" spans="3:13" s="338" customFormat="1">
      <c r="C3359" s="558"/>
      <c r="D3359" s="559"/>
      <c r="E3359" s="559"/>
      <c r="F3359" s="559"/>
      <c r="G3359" s="558"/>
      <c r="H3359" s="559"/>
      <c r="I3359" s="559"/>
      <c r="J3359" s="559"/>
      <c r="K3359" s="560"/>
      <c r="L3359" s="560"/>
      <c r="M3359" s="560"/>
    </row>
    <row r="3360" spans="3:13" s="338" customFormat="1">
      <c r="C3360" s="558"/>
      <c r="D3360" s="559"/>
      <c r="E3360" s="559"/>
      <c r="F3360" s="559"/>
      <c r="G3360" s="558"/>
      <c r="H3360" s="559"/>
      <c r="I3360" s="559"/>
      <c r="J3360" s="559"/>
      <c r="K3360" s="560"/>
      <c r="L3360" s="560"/>
      <c r="M3360" s="560"/>
    </row>
    <row r="3361" spans="3:13" s="338" customFormat="1">
      <c r="C3361" s="558"/>
      <c r="D3361" s="559"/>
      <c r="E3361" s="559"/>
      <c r="F3361" s="559"/>
      <c r="G3361" s="558"/>
      <c r="H3361" s="559"/>
      <c r="I3361" s="559"/>
      <c r="J3361" s="559"/>
      <c r="K3361" s="560"/>
      <c r="L3361" s="560"/>
      <c r="M3361" s="560"/>
    </row>
    <row r="3362" spans="3:13" s="338" customFormat="1">
      <c r="C3362" s="558"/>
      <c r="D3362" s="559"/>
      <c r="E3362" s="559"/>
      <c r="F3362" s="559"/>
      <c r="G3362" s="558"/>
      <c r="H3362" s="559"/>
      <c r="I3362" s="559"/>
      <c r="J3362" s="559"/>
      <c r="K3362" s="560"/>
      <c r="L3362" s="560"/>
      <c r="M3362" s="560"/>
    </row>
    <row r="3363" spans="3:13" s="338" customFormat="1">
      <c r="C3363" s="558"/>
      <c r="D3363" s="559"/>
      <c r="E3363" s="559"/>
      <c r="F3363" s="559"/>
      <c r="G3363" s="558"/>
      <c r="H3363" s="559"/>
      <c r="I3363" s="559"/>
      <c r="J3363" s="559"/>
      <c r="K3363" s="560"/>
      <c r="L3363" s="560"/>
      <c r="M3363" s="560"/>
    </row>
    <row r="3364" spans="3:13" s="338" customFormat="1">
      <c r="C3364" s="558"/>
      <c r="D3364" s="559"/>
      <c r="E3364" s="559"/>
      <c r="F3364" s="559"/>
      <c r="G3364" s="558"/>
      <c r="H3364" s="559"/>
      <c r="I3364" s="559"/>
      <c r="J3364" s="559"/>
      <c r="K3364" s="560"/>
      <c r="L3364" s="560"/>
      <c r="M3364" s="560"/>
    </row>
    <row r="3365" spans="3:13" s="338" customFormat="1">
      <c r="C3365" s="558"/>
      <c r="D3365" s="559"/>
      <c r="E3365" s="559"/>
      <c r="F3365" s="559"/>
      <c r="G3365" s="558"/>
      <c r="H3365" s="559"/>
      <c r="I3365" s="559"/>
      <c r="J3365" s="559"/>
      <c r="K3365" s="560"/>
      <c r="L3365" s="560"/>
      <c r="M3365" s="560"/>
    </row>
    <row r="3366" spans="3:13" s="338" customFormat="1">
      <c r="C3366" s="558"/>
      <c r="D3366" s="559"/>
      <c r="E3366" s="559"/>
      <c r="F3366" s="559"/>
      <c r="G3366" s="558"/>
      <c r="H3366" s="559"/>
      <c r="I3366" s="559"/>
      <c r="J3366" s="559"/>
      <c r="K3366" s="560"/>
      <c r="L3366" s="560"/>
      <c r="M3366" s="560"/>
    </row>
    <row r="3367" spans="3:13" s="338" customFormat="1">
      <c r="C3367" s="558"/>
      <c r="D3367" s="559"/>
      <c r="E3367" s="559"/>
      <c r="F3367" s="559"/>
      <c r="G3367" s="558"/>
      <c r="H3367" s="559"/>
      <c r="I3367" s="559"/>
      <c r="J3367" s="559"/>
      <c r="K3367" s="560"/>
      <c r="L3367" s="560"/>
      <c r="M3367" s="560"/>
    </row>
    <row r="3368" spans="3:13" s="338" customFormat="1">
      <c r="C3368" s="558"/>
      <c r="D3368" s="559"/>
      <c r="E3368" s="559"/>
      <c r="F3368" s="559"/>
      <c r="G3368" s="558"/>
      <c r="H3368" s="559"/>
      <c r="I3368" s="559"/>
      <c r="J3368" s="559"/>
      <c r="K3368" s="560"/>
      <c r="L3368" s="560"/>
      <c r="M3368" s="560"/>
    </row>
    <row r="3369" spans="3:13" s="338" customFormat="1">
      <c r="C3369" s="558"/>
      <c r="D3369" s="559"/>
      <c r="E3369" s="559"/>
      <c r="F3369" s="559"/>
      <c r="G3369" s="558"/>
      <c r="H3369" s="559"/>
      <c r="I3369" s="559"/>
      <c r="J3369" s="559"/>
      <c r="K3369" s="560"/>
      <c r="L3369" s="560"/>
      <c r="M3369" s="560"/>
    </row>
    <row r="3370" spans="3:13" s="338" customFormat="1">
      <c r="C3370" s="558"/>
      <c r="D3370" s="559"/>
      <c r="E3370" s="559"/>
      <c r="F3370" s="559"/>
      <c r="G3370" s="558"/>
      <c r="H3370" s="559"/>
      <c r="I3370" s="559"/>
      <c r="J3370" s="559"/>
      <c r="K3370" s="560"/>
      <c r="L3370" s="560"/>
      <c r="M3370" s="560"/>
    </row>
    <row r="3371" spans="3:13" s="338" customFormat="1">
      <c r="C3371" s="558"/>
      <c r="D3371" s="559"/>
      <c r="E3371" s="559"/>
      <c r="F3371" s="559"/>
      <c r="G3371" s="558"/>
      <c r="H3371" s="559"/>
      <c r="I3371" s="559"/>
      <c r="J3371" s="559"/>
      <c r="K3371" s="560"/>
      <c r="L3371" s="560"/>
      <c r="M3371" s="560"/>
    </row>
    <row r="3372" spans="3:13" s="338" customFormat="1">
      <c r="C3372" s="558"/>
      <c r="D3372" s="559"/>
      <c r="E3372" s="559"/>
      <c r="F3372" s="559"/>
      <c r="G3372" s="558"/>
      <c r="H3372" s="559"/>
      <c r="I3372" s="559"/>
      <c r="J3372" s="559"/>
      <c r="K3372" s="560"/>
      <c r="L3372" s="560"/>
      <c r="M3372" s="560"/>
    </row>
    <row r="3373" spans="3:13" s="338" customFormat="1">
      <c r="C3373" s="558"/>
      <c r="D3373" s="559"/>
      <c r="E3373" s="559"/>
      <c r="F3373" s="559"/>
      <c r="G3373" s="558"/>
      <c r="H3373" s="559"/>
      <c r="I3373" s="559"/>
      <c r="J3373" s="559"/>
      <c r="K3373" s="560"/>
      <c r="L3373" s="560"/>
      <c r="M3373" s="560"/>
    </row>
    <row r="3374" spans="3:13" s="338" customFormat="1">
      <c r="C3374" s="558"/>
      <c r="D3374" s="559"/>
      <c r="E3374" s="559"/>
      <c r="F3374" s="559"/>
      <c r="G3374" s="558"/>
      <c r="H3374" s="559"/>
      <c r="I3374" s="559"/>
      <c r="J3374" s="559"/>
      <c r="K3374" s="560"/>
      <c r="L3374" s="560"/>
      <c r="M3374" s="560"/>
    </row>
    <row r="3375" spans="3:13" s="338" customFormat="1">
      <c r="C3375" s="558"/>
      <c r="D3375" s="559"/>
      <c r="E3375" s="559"/>
      <c r="F3375" s="559"/>
      <c r="G3375" s="558"/>
      <c r="H3375" s="559"/>
      <c r="I3375" s="559"/>
      <c r="J3375" s="559"/>
      <c r="K3375" s="560"/>
      <c r="L3375" s="560"/>
      <c r="M3375" s="560"/>
    </row>
    <row r="3376" spans="3:13" s="338" customFormat="1">
      <c r="C3376" s="558"/>
      <c r="D3376" s="559"/>
      <c r="E3376" s="559"/>
      <c r="F3376" s="559"/>
      <c r="G3376" s="558"/>
      <c r="H3376" s="559"/>
      <c r="I3376" s="559"/>
      <c r="J3376" s="559"/>
      <c r="K3376" s="560"/>
      <c r="L3376" s="560"/>
      <c r="M3376" s="560"/>
    </row>
    <row r="3377" spans="3:13" s="338" customFormat="1">
      <c r="C3377" s="558"/>
      <c r="D3377" s="559"/>
      <c r="E3377" s="559"/>
      <c r="F3377" s="559"/>
      <c r="G3377" s="558"/>
      <c r="H3377" s="559"/>
      <c r="I3377" s="559"/>
      <c r="J3377" s="559"/>
      <c r="K3377" s="560"/>
      <c r="L3377" s="560"/>
      <c r="M3377" s="560"/>
    </row>
    <row r="3378" spans="3:13" s="338" customFormat="1">
      <c r="C3378" s="558"/>
      <c r="D3378" s="559"/>
      <c r="E3378" s="559"/>
      <c r="F3378" s="559"/>
      <c r="G3378" s="558"/>
      <c r="H3378" s="559"/>
      <c r="I3378" s="559"/>
      <c r="J3378" s="559"/>
      <c r="K3378" s="560"/>
      <c r="L3378" s="560"/>
      <c r="M3378" s="560"/>
    </row>
    <row r="3379" spans="3:13" s="338" customFormat="1">
      <c r="C3379" s="558"/>
      <c r="D3379" s="559"/>
      <c r="E3379" s="559"/>
      <c r="F3379" s="559"/>
      <c r="G3379" s="558"/>
      <c r="H3379" s="559"/>
      <c r="I3379" s="559"/>
      <c r="J3379" s="559"/>
      <c r="K3379" s="560"/>
      <c r="L3379" s="560"/>
      <c r="M3379" s="560"/>
    </row>
    <row r="3380" spans="3:13" s="338" customFormat="1">
      <c r="C3380" s="558"/>
      <c r="D3380" s="559"/>
      <c r="E3380" s="559"/>
      <c r="F3380" s="559"/>
      <c r="G3380" s="558"/>
      <c r="H3380" s="559"/>
      <c r="I3380" s="559"/>
      <c r="J3380" s="559"/>
      <c r="K3380" s="560"/>
      <c r="L3380" s="560"/>
      <c r="M3380" s="560"/>
    </row>
    <row r="3381" spans="3:13" s="338" customFormat="1">
      <c r="C3381" s="558"/>
      <c r="D3381" s="559"/>
      <c r="E3381" s="559"/>
      <c r="F3381" s="559"/>
      <c r="G3381" s="558"/>
      <c r="H3381" s="559"/>
      <c r="I3381" s="559"/>
      <c r="J3381" s="559"/>
      <c r="K3381" s="560"/>
      <c r="L3381" s="560"/>
      <c r="M3381" s="560"/>
    </row>
    <row r="3382" spans="3:13" s="338" customFormat="1">
      <c r="C3382" s="558"/>
      <c r="D3382" s="559"/>
      <c r="E3382" s="559"/>
      <c r="F3382" s="559"/>
      <c r="G3382" s="558"/>
      <c r="H3382" s="559"/>
      <c r="I3382" s="559"/>
      <c r="J3382" s="559"/>
      <c r="K3382" s="560"/>
      <c r="L3382" s="560"/>
      <c r="M3382" s="560"/>
    </row>
    <row r="3383" spans="3:13" s="338" customFormat="1">
      <c r="C3383" s="558"/>
      <c r="D3383" s="559"/>
      <c r="E3383" s="559"/>
      <c r="F3383" s="559"/>
      <c r="G3383" s="558"/>
      <c r="H3383" s="559"/>
      <c r="I3383" s="559"/>
      <c r="J3383" s="559"/>
      <c r="K3383" s="560"/>
      <c r="L3383" s="560"/>
      <c r="M3383" s="560"/>
    </row>
    <row r="3384" spans="3:13" s="338" customFormat="1">
      <c r="C3384" s="558"/>
      <c r="D3384" s="559"/>
      <c r="E3384" s="559"/>
      <c r="F3384" s="559"/>
      <c r="G3384" s="558"/>
      <c r="H3384" s="559"/>
      <c r="I3384" s="559"/>
      <c r="J3384" s="559"/>
      <c r="K3384" s="560"/>
      <c r="L3384" s="560"/>
      <c r="M3384" s="560"/>
    </row>
    <row r="3385" spans="3:13" s="338" customFormat="1">
      <c r="C3385" s="558"/>
      <c r="D3385" s="559"/>
      <c r="E3385" s="559"/>
      <c r="F3385" s="559"/>
      <c r="G3385" s="558"/>
      <c r="H3385" s="559"/>
      <c r="I3385" s="559"/>
      <c r="J3385" s="559"/>
      <c r="K3385" s="560"/>
      <c r="L3385" s="560"/>
      <c r="M3385" s="560"/>
    </row>
    <row r="3386" spans="3:13" s="338" customFormat="1">
      <c r="C3386" s="558"/>
      <c r="D3386" s="559"/>
      <c r="E3386" s="559"/>
      <c r="F3386" s="559"/>
      <c r="G3386" s="558"/>
      <c r="H3386" s="559"/>
      <c r="I3386" s="559"/>
      <c r="J3386" s="559"/>
      <c r="K3386" s="560"/>
      <c r="L3386" s="560"/>
      <c r="M3386" s="560"/>
    </row>
    <row r="3387" spans="3:13" s="338" customFormat="1">
      <c r="C3387" s="558"/>
      <c r="D3387" s="559"/>
      <c r="E3387" s="559"/>
      <c r="F3387" s="559"/>
      <c r="G3387" s="558"/>
      <c r="H3387" s="559"/>
      <c r="I3387" s="559"/>
      <c r="J3387" s="559"/>
      <c r="K3387" s="560"/>
      <c r="L3387" s="560"/>
      <c r="M3387" s="560"/>
    </row>
    <row r="3388" spans="3:13" s="338" customFormat="1">
      <c r="C3388" s="558"/>
      <c r="D3388" s="559"/>
      <c r="E3388" s="559"/>
      <c r="F3388" s="559"/>
      <c r="G3388" s="558"/>
      <c r="H3388" s="559"/>
      <c r="I3388" s="559"/>
      <c r="J3388" s="559"/>
      <c r="K3388" s="560"/>
      <c r="L3388" s="560"/>
      <c r="M3388" s="560"/>
    </row>
    <row r="3389" spans="3:13" s="338" customFormat="1">
      <c r="C3389" s="558"/>
      <c r="D3389" s="559"/>
      <c r="E3389" s="559"/>
      <c r="F3389" s="559"/>
      <c r="G3389" s="558"/>
      <c r="H3389" s="559"/>
      <c r="I3389" s="559"/>
      <c r="J3389" s="559"/>
      <c r="K3389" s="560"/>
      <c r="L3389" s="560"/>
      <c r="M3389" s="560"/>
    </row>
    <row r="3390" spans="3:13" s="338" customFormat="1">
      <c r="C3390" s="558"/>
      <c r="D3390" s="559"/>
      <c r="E3390" s="559"/>
      <c r="F3390" s="559"/>
      <c r="G3390" s="558"/>
      <c r="H3390" s="559"/>
      <c r="I3390" s="559"/>
      <c r="J3390" s="559"/>
      <c r="K3390" s="560"/>
      <c r="L3390" s="560"/>
      <c r="M3390" s="560"/>
    </row>
    <row r="3391" spans="3:13" s="338" customFormat="1">
      <c r="C3391" s="558"/>
      <c r="D3391" s="559"/>
      <c r="E3391" s="559"/>
      <c r="F3391" s="559"/>
      <c r="G3391" s="558"/>
      <c r="H3391" s="559"/>
      <c r="I3391" s="559"/>
      <c r="J3391" s="559"/>
      <c r="K3391" s="560"/>
      <c r="L3391" s="560"/>
      <c r="M3391" s="560"/>
    </row>
    <row r="3392" spans="3:13" s="338" customFormat="1">
      <c r="C3392" s="558"/>
      <c r="D3392" s="559"/>
      <c r="E3392" s="559"/>
      <c r="F3392" s="559"/>
      <c r="G3392" s="558"/>
      <c r="H3392" s="559"/>
      <c r="I3392" s="559"/>
      <c r="J3392" s="559"/>
      <c r="K3392" s="560"/>
      <c r="L3392" s="560"/>
      <c r="M3392" s="560"/>
    </row>
    <row r="3393" spans="3:13" s="338" customFormat="1">
      <c r="C3393" s="558"/>
      <c r="D3393" s="559"/>
      <c r="E3393" s="559"/>
      <c r="F3393" s="559"/>
      <c r="G3393" s="558"/>
      <c r="H3393" s="559"/>
      <c r="I3393" s="559"/>
      <c r="J3393" s="559"/>
      <c r="K3393" s="560"/>
      <c r="L3393" s="560"/>
      <c r="M3393" s="560"/>
    </row>
    <row r="3394" spans="3:13" s="338" customFormat="1">
      <c r="C3394" s="558"/>
      <c r="D3394" s="559"/>
      <c r="E3394" s="559"/>
      <c r="F3394" s="559"/>
      <c r="G3394" s="558"/>
      <c r="H3394" s="559"/>
      <c r="I3394" s="559"/>
      <c r="J3394" s="559"/>
      <c r="K3394" s="560"/>
      <c r="L3394" s="560"/>
      <c r="M3394" s="560"/>
    </row>
    <row r="3395" spans="3:13" s="338" customFormat="1">
      <c r="C3395" s="558"/>
      <c r="D3395" s="559"/>
      <c r="E3395" s="559"/>
      <c r="F3395" s="559"/>
      <c r="G3395" s="558"/>
      <c r="H3395" s="559"/>
      <c r="I3395" s="559"/>
      <c r="J3395" s="559"/>
      <c r="K3395" s="560"/>
      <c r="L3395" s="560"/>
      <c r="M3395" s="560"/>
    </row>
    <row r="3396" spans="3:13" s="338" customFormat="1">
      <c r="C3396" s="558"/>
      <c r="D3396" s="559"/>
      <c r="E3396" s="559"/>
      <c r="F3396" s="559"/>
      <c r="G3396" s="558"/>
      <c r="H3396" s="559"/>
      <c r="I3396" s="559"/>
      <c r="J3396" s="559"/>
      <c r="K3396" s="560"/>
      <c r="L3396" s="560"/>
      <c r="M3396" s="560"/>
    </row>
    <row r="3397" spans="3:13" s="338" customFormat="1">
      <c r="C3397" s="558"/>
      <c r="D3397" s="559"/>
      <c r="E3397" s="559"/>
      <c r="F3397" s="559"/>
      <c r="G3397" s="558"/>
      <c r="H3397" s="559"/>
      <c r="I3397" s="559"/>
      <c r="J3397" s="559"/>
      <c r="K3397" s="560"/>
      <c r="L3397" s="560"/>
      <c r="M3397" s="560"/>
    </row>
    <row r="3398" spans="3:13" s="338" customFormat="1">
      <c r="C3398" s="558"/>
      <c r="D3398" s="559"/>
      <c r="E3398" s="559"/>
      <c r="F3398" s="559"/>
      <c r="G3398" s="558"/>
      <c r="H3398" s="559"/>
      <c r="I3398" s="559"/>
      <c r="J3398" s="559"/>
      <c r="K3398" s="560"/>
      <c r="L3398" s="560"/>
      <c r="M3398" s="560"/>
    </row>
    <row r="3399" spans="3:13" s="338" customFormat="1">
      <c r="C3399" s="558"/>
      <c r="D3399" s="559"/>
      <c r="E3399" s="559"/>
      <c r="F3399" s="559"/>
      <c r="G3399" s="558"/>
      <c r="H3399" s="559"/>
      <c r="I3399" s="559"/>
      <c r="J3399" s="559"/>
      <c r="K3399" s="560"/>
      <c r="L3399" s="560"/>
      <c r="M3399" s="560"/>
    </row>
    <row r="3400" spans="3:13" s="338" customFormat="1">
      <c r="C3400" s="558"/>
      <c r="D3400" s="559"/>
      <c r="E3400" s="559"/>
      <c r="F3400" s="559"/>
      <c r="G3400" s="558"/>
      <c r="H3400" s="559"/>
      <c r="I3400" s="559"/>
      <c r="J3400" s="559"/>
      <c r="K3400" s="560"/>
      <c r="L3400" s="560"/>
      <c r="M3400" s="560"/>
    </row>
    <row r="3401" spans="3:13" s="338" customFormat="1">
      <c r="C3401" s="558"/>
      <c r="D3401" s="559"/>
      <c r="E3401" s="559"/>
      <c r="F3401" s="559"/>
      <c r="G3401" s="558"/>
      <c r="H3401" s="559"/>
      <c r="I3401" s="559"/>
      <c r="J3401" s="559"/>
      <c r="K3401" s="560"/>
      <c r="L3401" s="560"/>
      <c r="M3401" s="560"/>
    </row>
    <row r="3402" spans="3:13" s="338" customFormat="1">
      <c r="C3402" s="558"/>
      <c r="D3402" s="559"/>
      <c r="E3402" s="559"/>
      <c r="F3402" s="559"/>
      <c r="G3402" s="558"/>
      <c r="H3402" s="559"/>
      <c r="I3402" s="559"/>
      <c r="J3402" s="559"/>
      <c r="K3402" s="560"/>
      <c r="L3402" s="560"/>
      <c r="M3402" s="560"/>
    </row>
    <row r="3403" spans="3:13" s="338" customFormat="1">
      <c r="C3403" s="558"/>
      <c r="D3403" s="559"/>
      <c r="E3403" s="559"/>
      <c r="F3403" s="559"/>
      <c r="G3403" s="558"/>
      <c r="H3403" s="559"/>
      <c r="I3403" s="559"/>
      <c r="J3403" s="559"/>
      <c r="K3403" s="560"/>
      <c r="L3403" s="560"/>
      <c r="M3403" s="560"/>
    </row>
    <row r="3404" spans="3:13" s="338" customFormat="1">
      <c r="C3404" s="558"/>
      <c r="D3404" s="559"/>
      <c r="E3404" s="559"/>
      <c r="F3404" s="559"/>
      <c r="G3404" s="558"/>
      <c r="H3404" s="559"/>
      <c r="I3404" s="559"/>
      <c r="J3404" s="559"/>
      <c r="K3404" s="560"/>
      <c r="L3404" s="560"/>
      <c r="M3404" s="560"/>
    </row>
    <row r="3405" spans="3:13" s="338" customFormat="1">
      <c r="C3405" s="558"/>
      <c r="D3405" s="559"/>
      <c r="E3405" s="559"/>
      <c r="F3405" s="559"/>
      <c r="G3405" s="558"/>
      <c r="H3405" s="559"/>
      <c r="I3405" s="559"/>
      <c r="J3405" s="559"/>
      <c r="K3405" s="560"/>
      <c r="L3405" s="560"/>
      <c r="M3405" s="560"/>
    </row>
    <row r="3406" spans="3:13" s="338" customFormat="1">
      <c r="C3406" s="558"/>
      <c r="D3406" s="559"/>
      <c r="E3406" s="559"/>
      <c r="F3406" s="559"/>
      <c r="G3406" s="558"/>
      <c r="H3406" s="559"/>
      <c r="I3406" s="559"/>
      <c r="J3406" s="559"/>
      <c r="K3406" s="560"/>
      <c r="L3406" s="560"/>
      <c r="M3406" s="560"/>
    </row>
    <row r="3407" spans="3:13" s="338" customFormat="1">
      <c r="C3407" s="558"/>
      <c r="D3407" s="559"/>
      <c r="E3407" s="559"/>
      <c r="F3407" s="559"/>
      <c r="G3407" s="558"/>
      <c r="H3407" s="559"/>
      <c r="I3407" s="559"/>
      <c r="J3407" s="559"/>
      <c r="K3407" s="560"/>
      <c r="L3407" s="560"/>
      <c r="M3407" s="560"/>
    </row>
    <row r="3408" spans="3:13" s="338" customFormat="1">
      <c r="C3408" s="558"/>
      <c r="D3408" s="559"/>
      <c r="E3408" s="559"/>
      <c r="F3408" s="559"/>
      <c r="G3408" s="558"/>
      <c r="H3408" s="559"/>
      <c r="I3408" s="559"/>
      <c r="J3408" s="559"/>
      <c r="K3408" s="560"/>
      <c r="L3408" s="560"/>
      <c r="M3408" s="560"/>
    </row>
    <row r="3409" spans="3:13" s="338" customFormat="1">
      <c r="C3409" s="558"/>
      <c r="D3409" s="559"/>
      <c r="E3409" s="559"/>
      <c r="F3409" s="559"/>
      <c r="G3409" s="558"/>
      <c r="H3409" s="559"/>
      <c r="I3409" s="559"/>
      <c r="J3409" s="559"/>
      <c r="K3409" s="560"/>
      <c r="L3409" s="560"/>
      <c r="M3409" s="560"/>
    </row>
    <row r="3410" spans="3:13" s="338" customFormat="1">
      <c r="C3410" s="558"/>
      <c r="D3410" s="559"/>
      <c r="E3410" s="559"/>
      <c r="F3410" s="559"/>
      <c r="G3410" s="558"/>
      <c r="H3410" s="559"/>
      <c r="I3410" s="559"/>
      <c r="J3410" s="559"/>
      <c r="K3410" s="560"/>
      <c r="L3410" s="560"/>
      <c r="M3410" s="560"/>
    </row>
    <row r="3411" spans="3:13" s="338" customFormat="1">
      <c r="C3411" s="558"/>
      <c r="D3411" s="559"/>
      <c r="E3411" s="559"/>
      <c r="F3411" s="559"/>
      <c r="G3411" s="558"/>
      <c r="H3411" s="559"/>
      <c r="I3411" s="559"/>
      <c r="J3411" s="559"/>
      <c r="K3411" s="560"/>
      <c r="L3411" s="560"/>
      <c r="M3411" s="560"/>
    </row>
    <row r="3412" spans="3:13" s="338" customFormat="1">
      <c r="C3412" s="558"/>
      <c r="D3412" s="559"/>
      <c r="E3412" s="559"/>
      <c r="F3412" s="559"/>
      <c r="G3412" s="558"/>
      <c r="H3412" s="559"/>
      <c r="I3412" s="559"/>
      <c r="J3412" s="559"/>
      <c r="K3412" s="560"/>
      <c r="L3412" s="560"/>
      <c r="M3412" s="560"/>
    </row>
    <row r="3413" spans="3:13" s="338" customFormat="1">
      <c r="C3413" s="558"/>
      <c r="D3413" s="559"/>
      <c r="E3413" s="559"/>
      <c r="F3413" s="559"/>
      <c r="G3413" s="558"/>
      <c r="H3413" s="559"/>
      <c r="I3413" s="559"/>
      <c r="J3413" s="559"/>
      <c r="K3413" s="560"/>
      <c r="L3413" s="560"/>
      <c r="M3413" s="560"/>
    </row>
    <row r="3414" spans="3:13" s="338" customFormat="1">
      <c r="C3414" s="558"/>
      <c r="D3414" s="559"/>
      <c r="E3414" s="559"/>
      <c r="F3414" s="559"/>
      <c r="G3414" s="558"/>
      <c r="H3414" s="559"/>
      <c r="I3414" s="559"/>
      <c r="J3414" s="559"/>
      <c r="K3414" s="560"/>
      <c r="L3414" s="560"/>
      <c r="M3414" s="560"/>
    </row>
    <row r="3415" spans="3:13" s="338" customFormat="1">
      <c r="C3415" s="558"/>
      <c r="D3415" s="559"/>
      <c r="E3415" s="559"/>
      <c r="F3415" s="559"/>
      <c r="G3415" s="558"/>
      <c r="H3415" s="559"/>
      <c r="I3415" s="559"/>
      <c r="J3415" s="559"/>
      <c r="K3415" s="560"/>
      <c r="L3415" s="560"/>
      <c r="M3415" s="560"/>
    </row>
    <row r="3416" spans="3:13" s="338" customFormat="1">
      <c r="C3416" s="558"/>
      <c r="D3416" s="559"/>
      <c r="E3416" s="559"/>
      <c r="F3416" s="559"/>
      <c r="G3416" s="558"/>
      <c r="H3416" s="559"/>
      <c r="I3416" s="559"/>
      <c r="J3416" s="559"/>
      <c r="K3416" s="560"/>
      <c r="L3416" s="560"/>
      <c r="M3416" s="560"/>
    </row>
    <row r="3417" spans="3:13" s="338" customFormat="1">
      <c r="C3417" s="558"/>
      <c r="D3417" s="559"/>
      <c r="E3417" s="559"/>
      <c r="F3417" s="559"/>
      <c r="G3417" s="558"/>
      <c r="H3417" s="559"/>
      <c r="I3417" s="559"/>
      <c r="J3417" s="559"/>
      <c r="K3417" s="560"/>
      <c r="L3417" s="560"/>
      <c r="M3417" s="560"/>
    </row>
    <row r="3418" spans="3:13" s="338" customFormat="1">
      <c r="C3418" s="558"/>
      <c r="D3418" s="559"/>
      <c r="E3418" s="559"/>
      <c r="F3418" s="559"/>
      <c r="G3418" s="558"/>
      <c r="H3418" s="559"/>
      <c r="I3418" s="559"/>
      <c r="J3418" s="559"/>
      <c r="K3418" s="560"/>
      <c r="L3418" s="560"/>
      <c r="M3418" s="560"/>
    </row>
    <row r="3419" spans="3:13" s="338" customFormat="1">
      <c r="C3419" s="558"/>
      <c r="D3419" s="559"/>
      <c r="E3419" s="559"/>
      <c r="F3419" s="559"/>
      <c r="G3419" s="558"/>
      <c r="H3419" s="559"/>
      <c r="I3419" s="559"/>
      <c r="J3419" s="559"/>
      <c r="K3419" s="560"/>
      <c r="L3419" s="560"/>
      <c r="M3419" s="560"/>
    </row>
    <row r="3420" spans="3:13" s="338" customFormat="1">
      <c r="C3420" s="558"/>
      <c r="D3420" s="559"/>
      <c r="E3420" s="559"/>
      <c r="F3420" s="559"/>
      <c r="G3420" s="558"/>
      <c r="H3420" s="559"/>
      <c r="I3420" s="559"/>
      <c r="J3420" s="559"/>
      <c r="K3420" s="560"/>
      <c r="L3420" s="560"/>
      <c r="M3420" s="560"/>
    </row>
    <row r="3421" spans="3:13" s="338" customFormat="1">
      <c r="C3421" s="558"/>
      <c r="D3421" s="559"/>
      <c r="E3421" s="559"/>
      <c r="F3421" s="559"/>
      <c r="G3421" s="558"/>
      <c r="H3421" s="559"/>
      <c r="I3421" s="559"/>
      <c r="J3421" s="559"/>
      <c r="K3421" s="560"/>
      <c r="L3421" s="560"/>
      <c r="M3421" s="560"/>
    </row>
    <row r="3422" spans="3:13" s="338" customFormat="1">
      <c r="C3422" s="558"/>
      <c r="D3422" s="559"/>
      <c r="E3422" s="559"/>
      <c r="F3422" s="559"/>
      <c r="G3422" s="558"/>
      <c r="H3422" s="559"/>
      <c r="I3422" s="559"/>
      <c r="J3422" s="559"/>
      <c r="K3422" s="560"/>
      <c r="L3422" s="560"/>
      <c r="M3422" s="560"/>
    </row>
    <row r="3423" spans="3:13" s="338" customFormat="1">
      <c r="C3423" s="558"/>
      <c r="D3423" s="559"/>
      <c r="E3423" s="559"/>
      <c r="F3423" s="559"/>
      <c r="G3423" s="558"/>
      <c r="H3423" s="559"/>
      <c r="I3423" s="559"/>
      <c r="J3423" s="559"/>
      <c r="K3423" s="560"/>
      <c r="L3423" s="560"/>
      <c r="M3423" s="560"/>
    </row>
    <row r="3424" spans="3:13" s="338" customFormat="1">
      <c r="C3424" s="558"/>
      <c r="D3424" s="559"/>
      <c r="E3424" s="559"/>
      <c r="F3424" s="559"/>
      <c r="G3424" s="558"/>
      <c r="H3424" s="559"/>
      <c r="I3424" s="559"/>
      <c r="J3424" s="559"/>
      <c r="K3424" s="560"/>
      <c r="L3424" s="560"/>
      <c r="M3424" s="560"/>
    </row>
    <row r="3425" spans="3:13" s="338" customFormat="1">
      <c r="C3425" s="558"/>
      <c r="D3425" s="559"/>
      <c r="E3425" s="559"/>
      <c r="F3425" s="559"/>
      <c r="G3425" s="558"/>
      <c r="H3425" s="559"/>
      <c r="I3425" s="559"/>
      <c r="J3425" s="559"/>
      <c r="K3425" s="560"/>
      <c r="L3425" s="560"/>
      <c r="M3425" s="560"/>
    </row>
    <row r="3426" spans="3:13" s="338" customFormat="1">
      <c r="C3426" s="558"/>
      <c r="D3426" s="559"/>
      <c r="E3426" s="559"/>
      <c r="F3426" s="559"/>
      <c r="G3426" s="558"/>
      <c r="H3426" s="559"/>
      <c r="I3426" s="559"/>
      <c r="J3426" s="559"/>
      <c r="K3426" s="560"/>
      <c r="L3426" s="560"/>
      <c r="M3426" s="560"/>
    </row>
    <row r="3427" spans="3:13" s="338" customFormat="1">
      <c r="C3427" s="558"/>
      <c r="D3427" s="559"/>
      <c r="E3427" s="559"/>
      <c r="F3427" s="559"/>
      <c r="G3427" s="558"/>
      <c r="H3427" s="559"/>
      <c r="I3427" s="559"/>
      <c r="J3427" s="559"/>
      <c r="K3427" s="560"/>
      <c r="L3427" s="560"/>
      <c r="M3427" s="560"/>
    </row>
    <row r="3428" spans="3:13" s="338" customFormat="1">
      <c r="C3428" s="558"/>
      <c r="D3428" s="559"/>
      <c r="E3428" s="559"/>
      <c r="F3428" s="559"/>
      <c r="G3428" s="558"/>
      <c r="H3428" s="559"/>
      <c r="I3428" s="559"/>
      <c r="J3428" s="559"/>
      <c r="K3428" s="560"/>
      <c r="L3428" s="560"/>
      <c r="M3428" s="560"/>
    </row>
    <row r="3429" spans="3:13" s="338" customFormat="1">
      <c r="C3429" s="558"/>
      <c r="D3429" s="559"/>
      <c r="E3429" s="559"/>
      <c r="F3429" s="559"/>
      <c r="G3429" s="558"/>
      <c r="H3429" s="559"/>
      <c r="I3429" s="559"/>
      <c r="J3429" s="559"/>
      <c r="K3429" s="560"/>
      <c r="L3429" s="560"/>
      <c r="M3429" s="560"/>
    </row>
    <row r="3430" spans="3:13" s="338" customFormat="1">
      <c r="C3430" s="558"/>
      <c r="D3430" s="559"/>
      <c r="E3430" s="559"/>
      <c r="F3430" s="559"/>
      <c r="G3430" s="558"/>
      <c r="H3430" s="559"/>
      <c r="I3430" s="559"/>
      <c r="J3430" s="559"/>
      <c r="K3430" s="560"/>
      <c r="L3430" s="560"/>
      <c r="M3430" s="560"/>
    </row>
    <row r="3431" spans="3:13" s="338" customFormat="1">
      <c r="C3431" s="558"/>
      <c r="D3431" s="559"/>
      <c r="E3431" s="559"/>
      <c r="F3431" s="559"/>
      <c r="G3431" s="558"/>
      <c r="H3431" s="559"/>
      <c r="I3431" s="559"/>
      <c r="J3431" s="559"/>
      <c r="K3431" s="560"/>
      <c r="L3431" s="560"/>
      <c r="M3431" s="560"/>
    </row>
    <row r="3432" spans="3:13" s="338" customFormat="1">
      <c r="C3432" s="558"/>
      <c r="D3432" s="559"/>
      <c r="E3432" s="559"/>
      <c r="F3432" s="559"/>
      <c r="G3432" s="558"/>
      <c r="H3432" s="559"/>
      <c r="I3432" s="559"/>
      <c r="J3432" s="559"/>
      <c r="K3432" s="560"/>
      <c r="L3432" s="560"/>
      <c r="M3432" s="560"/>
    </row>
    <row r="3433" spans="3:13" s="338" customFormat="1">
      <c r="C3433" s="558"/>
      <c r="D3433" s="559"/>
      <c r="E3433" s="559"/>
      <c r="F3433" s="559"/>
      <c r="G3433" s="558"/>
      <c r="H3433" s="559"/>
      <c r="I3433" s="559"/>
      <c r="J3433" s="559"/>
      <c r="K3433" s="560"/>
      <c r="L3433" s="560"/>
      <c r="M3433" s="560"/>
    </row>
    <row r="3434" spans="3:13" s="338" customFormat="1">
      <c r="C3434" s="558"/>
      <c r="D3434" s="559"/>
      <c r="E3434" s="559"/>
      <c r="F3434" s="559"/>
      <c r="G3434" s="558"/>
      <c r="H3434" s="559"/>
      <c r="I3434" s="559"/>
      <c r="J3434" s="559"/>
      <c r="K3434" s="560"/>
      <c r="L3434" s="560"/>
      <c r="M3434" s="560"/>
    </row>
    <row r="3435" spans="3:13" s="338" customFormat="1">
      <c r="C3435" s="558"/>
      <c r="D3435" s="559"/>
      <c r="E3435" s="559"/>
      <c r="F3435" s="559"/>
      <c r="G3435" s="558"/>
      <c r="H3435" s="559"/>
      <c r="I3435" s="559"/>
      <c r="J3435" s="559"/>
      <c r="K3435" s="560"/>
      <c r="L3435" s="560"/>
      <c r="M3435" s="560"/>
    </row>
    <row r="3436" spans="3:13" s="338" customFormat="1">
      <c r="C3436" s="558"/>
      <c r="D3436" s="559"/>
      <c r="E3436" s="559"/>
      <c r="F3436" s="559"/>
      <c r="G3436" s="558"/>
      <c r="H3436" s="559"/>
      <c r="I3436" s="559"/>
      <c r="J3436" s="559"/>
      <c r="K3436" s="560"/>
      <c r="L3436" s="560"/>
      <c r="M3436" s="560"/>
    </row>
    <row r="3437" spans="3:13" s="338" customFormat="1">
      <c r="C3437" s="558"/>
      <c r="D3437" s="559"/>
      <c r="E3437" s="559"/>
      <c r="F3437" s="559"/>
      <c r="G3437" s="558"/>
      <c r="H3437" s="559"/>
      <c r="I3437" s="559"/>
      <c r="J3437" s="559"/>
      <c r="K3437" s="560"/>
      <c r="L3437" s="560"/>
      <c r="M3437" s="560"/>
    </row>
    <row r="3438" spans="3:13" s="338" customFormat="1">
      <c r="C3438" s="558"/>
      <c r="D3438" s="559"/>
      <c r="E3438" s="559"/>
      <c r="F3438" s="559"/>
      <c r="G3438" s="558"/>
      <c r="H3438" s="559"/>
      <c r="I3438" s="559"/>
      <c r="J3438" s="559"/>
      <c r="K3438" s="560"/>
      <c r="L3438" s="560"/>
      <c r="M3438" s="560"/>
    </row>
    <row r="3439" spans="3:13" s="338" customFormat="1">
      <c r="C3439" s="558"/>
      <c r="D3439" s="559"/>
      <c r="E3439" s="559"/>
      <c r="F3439" s="559"/>
      <c r="G3439" s="558"/>
      <c r="H3439" s="559"/>
      <c r="I3439" s="559"/>
      <c r="J3439" s="559"/>
      <c r="K3439" s="560"/>
      <c r="L3439" s="560"/>
      <c r="M3439" s="560"/>
    </row>
    <row r="3440" spans="3:13" s="338" customFormat="1">
      <c r="C3440" s="558"/>
      <c r="D3440" s="559"/>
      <c r="E3440" s="559"/>
      <c r="F3440" s="559"/>
      <c r="G3440" s="558"/>
      <c r="H3440" s="559"/>
      <c r="I3440" s="559"/>
      <c r="J3440" s="559"/>
      <c r="K3440" s="560"/>
      <c r="L3440" s="560"/>
      <c r="M3440" s="560"/>
    </row>
    <row r="3441" spans="3:13" s="338" customFormat="1">
      <c r="C3441" s="558"/>
      <c r="D3441" s="559"/>
      <c r="E3441" s="559"/>
      <c r="F3441" s="559"/>
      <c r="G3441" s="558"/>
      <c r="H3441" s="559"/>
      <c r="I3441" s="559"/>
      <c r="J3441" s="559"/>
      <c r="K3441" s="560"/>
      <c r="L3441" s="560"/>
      <c r="M3441" s="560"/>
    </row>
    <row r="3442" spans="3:13" s="338" customFormat="1">
      <c r="C3442" s="558"/>
      <c r="D3442" s="559"/>
      <c r="E3442" s="559"/>
      <c r="F3442" s="559"/>
      <c r="G3442" s="558"/>
      <c r="H3442" s="559"/>
      <c r="I3442" s="559"/>
      <c r="J3442" s="559"/>
      <c r="K3442" s="560"/>
      <c r="L3442" s="560"/>
      <c r="M3442" s="560"/>
    </row>
    <row r="3443" spans="3:13" s="338" customFormat="1">
      <c r="C3443" s="558"/>
      <c r="D3443" s="559"/>
      <c r="E3443" s="559"/>
      <c r="F3443" s="559"/>
      <c r="G3443" s="558"/>
      <c r="H3443" s="559"/>
      <c r="I3443" s="559"/>
      <c r="J3443" s="559"/>
      <c r="K3443" s="560"/>
      <c r="L3443" s="560"/>
      <c r="M3443" s="560"/>
    </row>
    <row r="3444" spans="3:13" s="338" customFormat="1">
      <c r="C3444" s="558"/>
      <c r="D3444" s="559"/>
      <c r="E3444" s="559"/>
      <c r="F3444" s="559"/>
      <c r="G3444" s="558"/>
      <c r="H3444" s="559"/>
      <c r="I3444" s="559"/>
      <c r="J3444" s="559"/>
      <c r="K3444" s="560"/>
      <c r="L3444" s="560"/>
      <c r="M3444" s="560"/>
    </row>
    <row r="3445" spans="3:13" s="338" customFormat="1">
      <c r="C3445" s="558"/>
      <c r="D3445" s="559"/>
      <c r="E3445" s="559"/>
      <c r="F3445" s="559"/>
      <c r="G3445" s="558"/>
      <c r="H3445" s="559"/>
      <c r="I3445" s="559"/>
      <c r="J3445" s="559"/>
      <c r="K3445" s="560"/>
      <c r="L3445" s="560"/>
      <c r="M3445" s="560"/>
    </row>
    <row r="3446" spans="3:13" s="338" customFormat="1">
      <c r="C3446" s="558"/>
      <c r="D3446" s="559"/>
      <c r="E3446" s="559"/>
      <c r="F3446" s="559"/>
      <c r="G3446" s="558"/>
      <c r="H3446" s="559"/>
      <c r="I3446" s="559"/>
      <c r="J3446" s="559"/>
      <c r="K3446" s="560"/>
      <c r="L3446" s="560"/>
      <c r="M3446" s="560"/>
    </row>
    <row r="3447" spans="3:13" s="338" customFormat="1">
      <c r="C3447" s="558"/>
      <c r="D3447" s="559"/>
      <c r="E3447" s="559"/>
      <c r="F3447" s="559"/>
      <c r="G3447" s="558"/>
      <c r="H3447" s="559"/>
      <c r="I3447" s="559"/>
      <c r="J3447" s="559"/>
      <c r="K3447" s="560"/>
      <c r="L3447" s="560"/>
      <c r="M3447" s="560"/>
    </row>
    <row r="3448" spans="3:13" s="338" customFormat="1">
      <c r="C3448" s="558"/>
      <c r="D3448" s="559"/>
      <c r="E3448" s="559"/>
      <c r="F3448" s="559"/>
      <c r="G3448" s="558"/>
      <c r="H3448" s="559"/>
      <c r="I3448" s="559"/>
      <c r="J3448" s="559"/>
      <c r="K3448" s="560"/>
      <c r="L3448" s="560"/>
      <c r="M3448" s="560"/>
    </row>
    <row r="3449" spans="3:13" s="338" customFormat="1">
      <c r="C3449" s="558"/>
      <c r="D3449" s="559"/>
      <c r="E3449" s="559"/>
      <c r="F3449" s="559"/>
      <c r="G3449" s="558"/>
      <c r="H3449" s="559"/>
      <c r="I3449" s="559"/>
      <c r="J3449" s="559"/>
      <c r="K3449" s="560"/>
      <c r="L3449" s="560"/>
      <c r="M3449" s="560"/>
    </row>
    <row r="3450" spans="3:13" s="338" customFormat="1">
      <c r="C3450" s="558"/>
      <c r="D3450" s="559"/>
      <c r="E3450" s="559"/>
      <c r="F3450" s="559"/>
      <c r="G3450" s="558"/>
      <c r="H3450" s="559"/>
      <c r="I3450" s="559"/>
      <c r="J3450" s="559"/>
      <c r="K3450" s="560"/>
      <c r="L3450" s="560"/>
      <c r="M3450" s="560"/>
    </row>
    <row r="3451" spans="3:13" s="338" customFormat="1">
      <c r="C3451" s="558"/>
      <c r="D3451" s="559"/>
      <c r="E3451" s="559"/>
      <c r="F3451" s="559"/>
      <c r="G3451" s="558"/>
      <c r="H3451" s="559"/>
      <c r="I3451" s="559"/>
      <c r="J3451" s="559"/>
      <c r="K3451" s="560"/>
      <c r="L3451" s="560"/>
      <c r="M3451" s="560"/>
    </row>
    <row r="3452" spans="3:13" s="338" customFormat="1">
      <c r="C3452" s="558"/>
      <c r="D3452" s="559"/>
      <c r="E3452" s="559"/>
      <c r="F3452" s="559"/>
      <c r="G3452" s="558"/>
      <c r="H3452" s="559"/>
      <c r="I3452" s="559"/>
      <c r="J3452" s="559"/>
      <c r="K3452" s="560"/>
      <c r="L3452" s="560"/>
      <c r="M3452" s="560"/>
    </row>
    <row r="3453" spans="3:13" s="338" customFormat="1">
      <c r="C3453" s="558"/>
      <c r="D3453" s="559"/>
      <c r="E3453" s="559"/>
      <c r="F3453" s="559"/>
      <c r="G3453" s="558"/>
      <c r="H3453" s="559"/>
      <c r="I3453" s="559"/>
      <c r="J3453" s="559"/>
      <c r="K3453" s="560"/>
      <c r="L3453" s="560"/>
      <c r="M3453" s="560"/>
    </row>
    <row r="3454" spans="3:13" s="338" customFormat="1">
      <c r="C3454" s="558"/>
      <c r="D3454" s="559"/>
      <c r="E3454" s="559"/>
      <c r="F3454" s="559"/>
      <c r="G3454" s="558"/>
      <c r="H3454" s="559"/>
      <c r="I3454" s="559"/>
      <c r="J3454" s="559"/>
      <c r="K3454" s="560"/>
      <c r="L3454" s="560"/>
      <c r="M3454" s="560"/>
    </row>
    <row r="3455" spans="3:13" s="338" customFormat="1">
      <c r="C3455" s="558"/>
      <c r="D3455" s="559"/>
      <c r="E3455" s="559"/>
      <c r="F3455" s="559"/>
      <c r="G3455" s="558"/>
      <c r="H3455" s="559"/>
      <c r="I3455" s="559"/>
      <c r="J3455" s="559"/>
      <c r="K3455" s="560"/>
      <c r="L3455" s="560"/>
      <c r="M3455" s="560"/>
    </row>
    <row r="3456" spans="3:13" s="338" customFormat="1">
      <c r="C3456" s="558"/>
      <c r="D3456" s="559"/>
      <c r="E3456" s="559"/>
      <c r="F3456" s="559"/>
      <c r="G3456" s="558"/>
      <c r="H3456" s="559"/>
      <c r="I3456" s="559"/>
      <c r="J3456" s="559"/>
      <c r="K3456" s="560"/>
      <c r="L3456" s="560"/>
      <c r="M3456" s="560"/>
    </row>
    <row r="3457" spans="3:13" s="338" customFormat="1">
      <c r="C3457" s="558"/>
      <c r="D3457" s="559"/>
      <c r="E3457" s="559"/>
      <c r="F3457" s="559"/>
      <c r="G3457" s="558"/>
      <c r="H3457" s="559"/>
      <c r="I3457" s="559"/>
      <c r="J3457" s="559"/>
      <c r="K3457" s="560"/>
      <c r="L3457" s="560"/>
      <c r="M3457" s="560"/>
    </row>
    <row r="3458" spans="3:13" s="338" customFormat="1">
      <c r="C3458" s="558"/>
      <c r="D3458" s="559"/>
      <c r="E3458" s="559"/>
      <c r="F3458" s="559"/>
      <c r="G3458" s="558"/>
      <c r="H3458" s="559"/>
      <c r="I3458" s="559"/>
      <c r="J3458" s="559"/>
      <c r="K3458" s="560"/>
      <c r="L3458" s="560"/>
      <c r="M3458" s="560"/>
    </row>
    <row r="3459" spans="3:13" s="338" customFormat="1">
      <c r="C3459" s="558"/>
      <c r="D3459" s="559"/>
      <c r="E3459" s="559"/>
      <c r="F3459" s="559"/>
      <c r="G3459" s="558"/>
      <c r="H3459" s="559"/>
      <c r="I3459" s="559"/>
      <c r="J3459" s="559"/>
      <c r="K3459" s="560"/>
      <c r="L3459" s="560"/>
      <c r="M3459" s="560"/>
    </row>
    <row r="3460" spans="3:13" s="338" customFormat="1">
      <c r="C3460" s="558"/>
      <c r="D3460" s="559"/>
      <c r="E3460" s="559"/>
      <c r="F3460" s="559"/>
      <c r="G3460" s="558"/>
      <c r="H3460" s="559"/>
      <c r="I3460" s="559"/>
      <c r="J3460" s="559"/>
      <c r="K3460" s="560"/>
      <c r="L3460" s="560"/>
      <c r="M3460" s="560"/>
    </row>
    <row r="3461" spans="3:13" s="338" customFormat="1">
      <c r="C3461" s="558"/>
      <c r="D3461" s="559"/>
      <c r="E3461" s="559"/>
      <c r="F3461" s="559"/>
      <c r="G3461" s="558"/>
      <c r="H3461" s="559"/>
      <c r="I3461" s="559"/>
      <c r="J3461" s="559"/>
      <c r="K3461" s="560"/>
      <c r="L3461" s="560"/>
      <c r="M3461" s="560"/>
    </row>
    <row r="3462" spans="3:13" s="338" customFormat="1">
      <c r="C3462" s="558"/>
      <c r="D3462" s="559"/>
      <c r="E3462" s="559"/>
      <c r="F3462" s="559"/>
      <c r="G3462" s="558"/>
      <c r="H3462" s="559"/>
      <c r="I3462" s="559"/>
      <c r="J3462" s="559"/>
      <c r="K3462" s="560"/>
      <c r="L3462" s="560"/>
      <c r="M3462" s="560"/>
    </row>
    <row r="3463" spans="3:13" s="338" customFormat="1">
      <c r="C3463" s="558"/>
      <c r="D3463" s="559"/>
      <c r="E3463" s="559"/>
      <c r="F3463" s="559"/>
      <c r="G3463" s="558"/>
      <c r="H3463" s="559"/>
      <c r="I3463" s="559"/>
      <c r="J3463" s="559"/>
      <c r="K3463" s="560"/>
      <c r="L3463" s="560"/>
      <c r="M3463" s="560"/>
    </row>
    <row r="3464" spans="3:13" s="338" customFormat="1">
      <c r="C3464" s="558"/>
      <c r="D3464" s="559"/>
      <c r="E3464" s="559"/>
      <c r="F3464" s="559"/>
      <c r="G3464" s="558"/>
      <c r="H3464" s="559"/>
      <c r="I3464" s="559"/>
      <c r="J3464" s="559"/>
      <c r="K3464" s="560"/>
      <c r="L3464" s="560"/>
      <c r="M3464" s="560"/>
    </row>
    <row r="3465" spans="3:13" s="338" customFormat="1">
      <c r="C3465" s="558"/>
      <c r="D3465" s="559"/>
      <c r="E3465" s="559"/>
      <c r="F3465" s="559"/>
      <c r="G3465" s="558"/>
      <c r="H3465" s="559"/>
      <c r="I3465" s="559"/>
      <c r="J3465" s="559"/>
      <c r="K3465" s="560"/>
      <c r="L3465" s="560"/>
      <c r="M3465" s="560"/>
    </row>
    <row r="3466" spans="3:13" s="338" customFormat="1">
      <c r="C3466" s="558"/>
      <c r="D3466" s="559"/>
      <c r="E3466" s="559"/>
      <c r="F3466" s="559"/>
      <c r="G3466" s="558"/>
      <c r="H3466" s="559"/>
      <c r="I3466" s="559"/>
      <c r="J3466" s="559"/>
      <c r="K3466" s="560"/>
      <c r="L3466" s="560"/>
      <c r="M3466" s="560"/>
    </row>
    <row r="3467" spans="3:13" s="338" customFormat="1">
      <c r="C3467" s="558"/>
      <c r="D3467" s="559"/>
      <c r="E3467" s="559"/>
      <c r="F3467" s="559"/>
      <c r="G3467" s="558"/>
      <c r="H3467" s="559"/>
      <c r="I3467" s="559"/>
      <c r="J3467" s="559"/>
      <c r="K3467" s="560"/>
      <c r="L3467" s="560"/>
      <c r="M3467" s="560"/>
    </row>
    <row r="3468" spans="3:13" s="338" customFormat="1">
      <c r="C3468" s="558"/>
      <c r="D3468" s="559"/>
      <c r="E3468" s="559"/>
      <c r="F3468" s="559"/>
      <c r="G3468" s="558"/>
      <c r="H3468" s="559"/>
      <c r="I3468" s="559"/>
      <c r="J3468" s="559"/>
      <c r="K3468" s="560"/>
      <c r="L3468" s="560"/>
      <c r="M3468" s="560"/>
    </row>
    <row r="3469" spans="3:13" s="338" customFormat="1">
      <c r="C3469" s="558"/>
      <c r="D3469" s="559"/>
      <c r="E3469" s="559"/>
      <c r="F3469" s="559"/>
      <c r="G3469" s="558"/>
      <c r="H3469" s="559"/>
      <c r="I3469" s="559"/>
      <c r="J3469" s="559"/>
      <c r="K3469" s="560"/>
      <c r="L3469" s="560"/>
      <c r="M3469" s="560"/>
    </row>
    <row r="3470" spans="3:13" s="338" customFormat="1">
      <c r="C3470" s="558"/>
      <c r="D3470" s="559"/>
      <c r="E3470" s="559"/>
      <c r="F3470" s="559"/>
      <c r="G3470" s="558"/>
      <c r="H3470" s="559"/>
      <c r="I3470" s="559"/>
      <c r="J3470" s="559"/>
      <c r="K3470" s="560"/>
      <c r="L3470" s="560"/>
      <c r="M3470" s="560"/>
    </row>
    <row r="3471" spans="3:13" s="338" customFormat="1">
      <c r="C3471" s="558"/>
      <c r="D3471" s="559"/>
      <c r="E3471" s="559"/>
      <c r="F3471" s="559"/>
      <c r="G3471" s="558"/>
      <c r="H3471" s="559"/>
      <c r="I3471" s="559"/>
      <c r="J3471" s="559"/>
      <c r="K3471" s="560"/>
      <c r="L3471" s="560"/>
      <c r="M3471" s="560"/>
    </row>
    <row r="3472" spans="3:13" s="338" customFormat="1">
      <c r="C3472" s="558"/>
      <c r="D3472" s="559"/>
      <c r="E3472" s="559"/>
      <c r="F3472" s="559"/>
      <c r="G3472" s="558"/>
      <c r="H3472" s="559"/>
      <c r="I3472" s="559"/>
      <c r="J3472" s="559"/>
      <c r="K3472" s="560"/>
      <c r="L3472" s="560"/>
      <c r="M3472" s="560"/>
    </row>
    <row r="3473" spans="3:13" s="338" customFormat="1">
      <c r="C3473" s="558"/>
      <c r="D3473" s="559"/>
      <c r="E3473" s="559"/>
      <c r="F3473" s="559"/>
      <c r="G3473" s="558"/>
      <c r="H3473" s="559"/>
      <c r="I3473" s="559"/>
      <c r="J3473" s="559"/>
      <c r="K3473" s="560"/>
      <c r="L3473" s="560"/>
      <c r="M3473" s="560"/>
    </row>
    <row r="3474" spans="3:13" s="338" customFormat="1">
      <c r="C3474" s="558"/>
      <c r="D3474" s="559"/>
      <c r="E3474" s="559"/>
      <c r="F3474" s="559"/>
      <c r="G3474" s="558"/>
      <c r="H3474" s="559"/>
      <c r="I3474" s="559"/>
      <c r="J3474" s="559"/>
      <c r="K3474" s="560"/>
      <c r="L3474" s="560"/>
      <c r="M3474" s="560"/>
    </row>
    <row r="3475" spans="3:13" s="338" customFormat="1">
      <c r="C3475" s="558"/>
      <c r="D3475" s="559"/>
      <c r="E3475" s="559"/>
      <c r="F3475" s="559"/>
      <c r="G3475" s="558"/>
      <c r="H3475" s="559"/>
      <c r="I3475" s="559"/>
      <c r="J3475" s="559"/>
      <c r="K3475" s="560"/>
      <c r="L3475" s="560"/>
      <c r="M3475" s="560"/>
    </row>
    <row r="3476" spans="3:13" s="338" customFormat="1">
      <c r="C3476" s="558"/>
      <c r="D3476" s="559"/>
      <c r="E3476" s="559"/>
      <c r="F3476" s="559"/>
      <c r="G3476" s="558"/>
      <c r="H3476" s="559"/>
      <c r="I3476" s="559"/>
      <c r="J3476" s="559"/>
      <c r="K3476" s="560"/>
      <c r="L3476" s="560"/>
      <c r="M3476" s="560"/>
    </row>
    <row r="3477" spans="3:13" s="338" customFormat="1">
      <c r="C3477" s="558"/>
      <c r="D3477" s="559"/>
      <c r="E3477" s="559"/>
      <c r="F3477" s="559"/>
      <c r="G3477" s="558"/>
      <c r="H3477" s="559"/>
      <c r="I3477" s="559"/>
      <c r="J3477" s="559"/>
      <c r="K3477" s="560"/>
      <c r="L3477" s="560"/>
      <c r="M3477" s="560"/>
    </row>
    <row r="3478" spans="3:13" s="338" customFormat="1">
      <c r="C3478" s="558"/>
      <c r="D3478" s="559"/>
      <c r="E3478" s="559"/>
      <c r="F3478" s="559"/>
      <c r="G3478" s="558"/>
      <c r="H3478" s="559"/>
      <c r="I3478" s="559"/>
      <c r="J3478" s="559"/>
      <c r="K3478" s="560"/>
      <c r="L3478" s="560"/>
      <c r="M3478" s="560"/>
    </row>
    <row r="3479" spans="3:13" s="338" customFormat="1">
      <c r="C3479" s="558"/>
      <c r="D3479" s="559"/>
      <c r="E3479" s="559"/>
      <c r="F3479" s="559"/>
      <c r="G3479" s="558"/>
      <c r="H3479" s="559"/>
      <c r="I3479" s="559"/>
      <c r="J3479" s="559"/>
      <c r="K3479" s="560"/>
      <c r="L3479" s="560"/>
      <c r="M3479" s="560"/>
    </row>
    <row r="3480" spans="3:13" s="338" customFormat="1">
      <c r="C3480" s="558"/>
      <c r="D3480" s="559"/>
      <c r="E3480" s="559"/>
      <c r="F3480" s="559"/>
      <c r="G3480" s="558"/>
      <c r="H3480" s="559"/>
      <c r="I3480" s="559"/>
      <c r="J3480" s="559"/>
      <c r="K3480" s="560"/>
      <c r="L3480" s="560"/>
      <c r="M3480" s="560"/>
    </row>
    <row r="3481" spans="3:13" s="338" customFormat="1">
      <c r="C3481" s="558"/>
      <c r="D3481" s="559"/>
      <c r="E3481" s="559"/>
      <c r="F3481" s="559"/>
      <c r="G3481" s="558"/>
      <c r="H3481" s="559"/>
      <c r="I3481" s="559"/>
      <c r="J3481" s="559"/>
      <c r="K3481" s="560"/>
      <c r="L3481" s="560"/>
      <c r="M3481" s="560"/>
    </row>
    <row r="3482" spans="3:13" s="338" customFormat="1">
      <c r="C3482" s="558"/>
      <c r="D3482" s="559"/>
      <c r="E3482" s="559"/>
      <c r="F3482" s="559"/>
      <c r="G3482" s="558"/>
      <c r="H3482" s="559"/>
      <c r="I3482" s="559"/>
      <c r="J3482" s="559"/>
      <c r="K3482" s="560"/>
      <c r="L3482" s="560"/>
      <c r="M3482" s="560"/>
    </row>
    <row r="3483" spans="3:13" s="338" customFormat="1">
      <c r="C3483" s="558"/>
      <c r="D3483" s="559"/>
      <c r="E3483" s="559"/>
      <c r="F3483" s="559"/>
      <c r="G3483" s="558"/>
      <c r="H3483" s="559"/>
      <c r="I3483" s="559"/>
      <c r="J3483" s="559"/>
      <c r="K3483" s="560"/>
      <c r="L3483" s="560"/>
      <c r="M3483" s="560"/>
    </row>
    <row r="3484" spans="3:13" s="338" customFormat="1">
      <c r="C3484" s="558"/>
      <c r="D3484" s="559"/>
      <c r="E3484" s="559"/>
      <c r="F3484" s="559"/>
      <c r="G3484" s="558"/>
      <c r="H3484" s="559"/>
      <c r="I3484" s="559"/>
      <c r="J3484" s="559"/>
      <c r="K3484" s="560"/>
      <c r="L3484" s="560"/>
      <c r="M3484" s="560"/>
    </row>
    <row r="3485" spans="3:13" s="338" customFormat="1">
      <c r="C3485" s="558"/>
      <c r="D3485" s="559"/>
      <c r="E3485" s="559"/>
      <c r="F3485" s="559"/>
      <c r="G3485" s="558"/>
      <c r="H3485" s="559"/>
      <c r="I3485" s="559"/>
      <c r="J3485" s="559"/>
      <c r="K3485" s="560"/>
      <c r="L3485" s="560"/>
      <c r="M3485" s="560"/>
    </row>
    <row r="3486" spans="3:13" s="338" customFormat="1">
      <c r="C3486" s="558"/>
      <c r="D3486" s="559"/>
      <c r="E3486" s="559"/>
      <c r="F3486" s="559"/>
      <c r="G3486" s="558"/>
      <c r="H3486" s="559"/>
      <c r="I3486" s="559"/>
      <c r="J3486" s="559"/>
      <c r="K3486" s="560"/>
      <c r="L3486" s="560"/>
      <c r="M3486" s="560"/>
    </row>
    <row r="3487" spans="3:13" s="338" customFormat="1">
      <c r="C3487" s="558"/>
      <c r="D3487" s="559"/>
      <c r="E3487" s="559"/>
      <c r="F3487" s="559"/>
      <c r="G3487" s="558"/>
      <c r="H3487" s="559"/>
      <c r="I3487" s="559"/>
      <c r="J3487" s="559"/>
      <c r="K3487" s="560"/>
      <c r="L3487" s="560"/>
      <c r="M3487" s="560"/>
    </row>
    <row r="3488" spans="3:13" s="338" customFormat="1">
      <c r="C3488" s="558"/>
      <c r="D3488" s="559"/>
      <c r="E3488" s="559"/>
      <c r="F3488" s="559"/>
      <c r="G3488" s="558"/>
      <c r="H3488" s="559"/>
      <c r="I3488" s="559"/>
      <c r="J3488" s="559"/>
      <c r="K3488" s="560"/>
      <c r="L3488" s="560"/>
      <c r="M3488" s="560"/>
    </row>
    <row r="3489" spans="3:13" s="338" customFormat="1">
      <c r="C3489" s="558"/>
      <c r="D3489" s="559"/>
      <c r="E3489" s="559"/>
      <c r="F3489" s="559"/>
      <c r="G3489" s="558"/>
      <c r="H3489" s="559"/>
      <c r="I3489" s="559"/>
      <c r="J3489" s="559"/>
      <c r="K3489" s="560"/>
      <c r="L3489" s="560"/>
      <c r="M3489" s="560"/>
    </row>
    <row r="3490" spans="3:13" s="338" customFormat="1">
      <c r="C3490" s="558"/>
      <c r="D3490" s="559"/>
      <c r="E3490" s="559"/>
      <c r="F3490" s="559"/>
      <c r="G3490" s="558"/>
      <c r="H3490" s="559"/>
      <c r="I3490" s="559"/>
      <c r="J3490" s="559"/>
      <c r="K3490" s="560"/>
      <c r="L3490" s="560"/>
      <c r="M3490" s="560"/>
    </row>
    <row r="3491" spans="3:13" s="338" customFormat="1">
      <c r="C3491" s="558"/>
      <c r="D3491" s="559"/>
      <c r="E3491" s="559"/>
      <c r="F3491" s="559"/>
      <c r="G3491" s="558"/>
      <c r="H3491" s="559"/>
      <c r="I3491" s="559"/>
      <c r="J3491" s="559"/>
      <c r="K3491" s="560"/>
      <c r="L3491" s="560"/>
      <c r="M3491" s="560"/>
    </row>
    <row r="3492" spans="3:13" s="338" customFormat="1">
      <c r="C3492" s="558"/>
      <c r="D3492" s="559"/>
      <c r="E3492" s="559"/>
      <c r="F3492" s="559"/>
      <c r="G3492" s="558"/>
      <c r="H3492" s="559"/>
      <c r="I3492" s="559"/>
      <c r="J3492" s="559"/>
      <c r="K3492" s="560"/>
      <c r="L3492" s="560"/>
      <c r="M3492" s="560"/>
    </row>
    <row r="3493" spans="3:13" s="338" customFormat="1">
      <c r="C3493" s="558"/>
      <c r="D3493" s="559"/>
      <c r="E3493" s="559"/>
      <c r="F3493" s="559"/>
      <c r="G3493" s="558"/>
      <c r="H3493" s="559"/>
      <c r="I3493" s="559"/>
      <c r="J3493" s="559"/>
      <c r="K3493" s="560"/>
      <c r="L3493" s="560"/>
      <c r="M3493" s="560"/>
    </row>
    <row r="3494" spans="3:13" s="338" customFormat="1">
      <c r="C3494" s="558"/>
      <c r="D3494" s="559"/>
      <c r="E3494" s="559"/>
      <c r="F3494" s="559"/>
      <c r="G3494" s="558"/>
      <c r="H3494" s="559"/>
      <c r="I3494" s="559"/>
      <c r="J3494" s="559"/>
      <c r="K3494" s="560"/>
      <c r="L3494" s="560"/>
      <c r="M3494" s="560"/>
    </row>
    <row r="3495" spans="3:13" s="338" customFormat="1">
      <c r="C3495" s="558"/>
      <c r="D3495" s="559"/>
      <c r="E3495" s="559"/>
      <c r="F3495" s="559"/>
      <c r="G3495" s="558"/>
      <c r="H3495" s="559"/>
      <c r="I3495" s="559"/>
      <c r="J3495" s="559"/>
      <c r="K3495" s="560"/>
      <c r="L3495" s="560"/>
      <c r="M3495" s="560"/>
    </row>
    <row r="3496" spans="3:13" s="338" customFormat="1">
      <c r="C3496" s="558"/>
      <c r="D3496" s="559"/>
      <c r="E3496" s="559"/>
      <c r="F3496" s="559"/>
      <c r="G3496" s="558"/>
      <c r="H3496" s="559"/>
      <c r="I3496" s="559"/>
      <c r="J3496" s="559"/>
      <c r="K3496" s="560"/>
      <c r="L3496" s="560"/>
      <c r="M3496" s="560"/>
    </row>
    <row r="3497" spans="3:13" s="338" customFormat="1">
      <c r="C3497" s="558"/>
      <c r="D3497" s="559"/>
      <c r="E3497" s="559"/>
      <c r="F3497" s="559"/>
      <c r="G3497" s="558"/>
      <c r="H3497" s="559"/>
      <c r="I3497" s="559"/>
      <c r="J3497" s="559"/>
      <c r="K3497" s="560"/>
      <c r="L3497" s="560"/>
      <c r="M3497" s="560"/>
    </row>
    <row r="3498" spans="3:13" s="338" customFormat="1">
      <c r="C3498" s="558"/>
      <c r="D3498" s="559"/>
      <c r="E3498" s="559"/>
      <c r="F3498" s="559"/>
      <c r="G3498" s="558"/>
      <c r="H3498" s="559"/>
      <c r="I3498" s="559"/>
      <c r="J3498" s="559"/>
      <c r="K3498" s="560"/>
      <c r="L3498" s="560"/>
      <c r="M3498" s="560"/>
    </row>
    <row r="3499" spans="3:13" s="338" customFormat="1">
      <c r="C3499" s="558"/>
      <c r="D3499" s="559"/>
      <c r="E3499" s="559"/>
      <c r="F3499" s="559"/>
      <c r="G3499" s="558"/>
      <c r="H3499" s="559"/>
      <c r="I3499" s="559"/>
      <c r="J3499" s="559"/>
      <c r="K3499" s="560"/>
      <c r="L3499" s="560"/>
      <c r="M3499" s="560"/>
    </row>
    <row r="3500" spans="3:13" s="338" customFormat="1">
      <c r="C3500" s="558"/>
      <c r="D3500" s="559"/>
      <c r="E3500" s="559"/>
      <c r="F3500" s="559"/>
      <c r="G3500" s="558"/>
      <c r="H3500" s="559"/>
      <c r="I3500" s="559"/>
      <c r="J3500" s="559"/>
      <c r="K3500" s="560"/>
      <c r="L3500" s="560"/>
      <c r="M3500" s="560"/>
    </row>
    <row r="3501" spans="3:13" s="338" customFormat="1">
      <c r="C3501" s="558"/>
      <c r="D3501" s="559"/>
      <c r="E3501" s="559"/>
      <c r="F3501" s="559"/>
      <c r="G3501" s="558"/>
      <c r="H3501" s="559"/>
      <c r="I3501" s="559"/>
      <c r="J3501" s="559"/>
      <c r="K3501" s="560"/>
      <c r="L3501" s="560"/>
      <c r="M3501" s="560"/>
    </row>
    <row r="3502" spans="3:13" s="338" customFormat="1">
      <c r="C3502" s="558"/>
      <c r="D3502" s="559"/>
      <c r="E3502" s="559"/>
      <c r="F3502" s="559"/>
      <c r="G3502" s="558"/>
      <c r="H3502" s="559"/>
      <c r="I3502" s="559"/>
      <c r="J3502" s="559"/>
      <c r="K3502" s="560"/>
      <c r="L3502" s="560"/>
      <c r="M3502" s="560"/>
    </row>
    <row r="3503" spans="3:13" s="338" customFormat="1">
      <c r="C3503" s="558"/>
      <c r="D3503" s="559"/>
      <c r="E3503" s="559"/>
      <c r="F3503" s="559"/>
      <c r="G3503" s="558"/>
      <c r="H3503" s="559"/>
      <c r="I3503" s="559"/>
      <c r="J3503" s="559"/>
      <c r="K3503" s="560"/>
      <c r="L3503" s="560"/>
      <c r="M3503" s="560"/>
    </row>
    <row r="3504" spans="3:13" s="338" customFormat="1">
      <c r="C3504" s="558"/>
      <c r="D3504" s="559"/>
      <c r="E3504" s="559"/>
      <c r="F3504" s="559"/>
      <c r="G3504" s="558"/>
      <c r="H3504" s="559"/>
      <c r="I3504" s="559"/>
      <c r="J3504" s="559"/>
      <c r="K3504" s="560"/>
      <c r="L3504" s="560"/>
      <c r="M3504" s="560"/>
    </row>
    <row r="3505" spans="3:13" s="338" customFormat="1">
      <c r="C3505" s="558"/>
      <c r="D3505" s="559"/>
      <c r="E3505" s="559"/>
      <c r="F3505" s="559"/>
      <c r="G3505" s="558"/>
      <c r="H3505" s="559"/>
      <c r="I3505" s="559"/>
      <c r="J3505" s="559"/>
      <c r="K3505" s="560"/>
      <c r="L3505" s="560"/>
      <c r="M3505" s="560"/>
    </row>
    <row r="3506" spans="3:13" s="338" customFormat="1">
      <c r="C3506" s="558"/>
      <c r="D3506" s="559"/>
      <c r="E3506" s="559"/>
      <c r="F3506" s="559"/>
      <c r="G3506" s="558"/>
      <c r="H3506" s="559"/>
      <c r="I3506" s="559"/>
      <c r="J3506" s="559"/>
      <c r="K3506" s="560"/>
      <c r="L3506" s="560"/>
      <c r="M3506" s="560"/>
    </row>
    <row r="3507" spans="3:13" s="338" customFormat="1">
      <c r="C3507" s="558"/>
      <c r="D3507" s="559"/>
      <c r="E3507" s="559"/>
      <c r="F3507" s="559"/>
      <c r="G3507" s="558"/>
      <c r="H3507" s="559"/>
      <c r="I3507" s="559"/>
      <c r="J3507" s="559"/>
      <c r="K3507" s="560"/>
      <c r="L3507" s="560"/>
      <c r="M3507" s="560"/>
    </row>
    <row r="3508" spans="3:13" s="338" customFormat="1">
      <c r="C3508" s="558"/>
      <c r="D3508" s="559"/>
      <c r="E3508" s="559"/>
      <c r="F3508" s="559"/>
      <c r="G3508" s="558"/>
      <c r="H3508" s="559"/>
      <c r="I3508" s="559"/>
      <c r="J3508" s="559"/>
      <c r="K3508" s="560"/>
      <c r="L3508" s="560"/>
      <c r="M3508" s="560"/>
    </row>
    <row r="3509" spans="3:13" s="338" customFormat="1">
      <c r="C3509" s="558"/>
      <c r="D3509" s="559"/>
      <c r="E3509" s="559"/>
      <c r="F3509" s="559"/>
      <c r="G3509" s="558"/>
      <c r="H3509" s="559"/>
      <c r="I3509" s="559"/>
      <c r="J3509" s="559"/>
      <c r="K3509" s="560"/>
      <c r="L3509" s="560"/>
      <c r="M3509" s="560"/>
    </row>
    <row r="3510" spans="3:13" s="338" customFormat="1">
      <c r="C3510" s="558"/>
      <c r="D3510" s="559"/>
      <c r="E3510" s="559"/>
      <c r="F3510" s="559"/>
      <c r="G3510" s="558"/>
      <c r="H3510" s="559"/>
      <c r="I3510" s="559"/>
      <c r="J3510" s="559"/>
      <c r="K3510" s="560"/>
      <c r="L3510" s="560"/>
      <c r="M3510" s="560"/>
    </row>
    <row r="3511" spans="3:13" s="338" customFormat="1">
      <c r="C3511" s="558"/>
      <c r="D3511" s="559"/>
      <c r="E3511" s="559"/>
      <c r="F3511" s="559"/>
      <c r="G3511" s="558"/>
      <c r="H3511" s="559"/>
      <c r="I3511" s="559"/>
      <c r="J3511" s="559"/>
      <c r="K3511" s="560"/>
      <c r="L3511" s="560"/>
      <c r="M3511" s="560"/>
    </row>
    <row r="3512" spans="3:13" s="338" customFormat="1">
      <c r="C3512" s="558"/>
      <c r="D3512" s="559"/>
      <c r="E3512" s="559"/>
      <c r="F3512" s="559"/>
      <c r="G3512" s="558"/>
      <c r="H3512" s="559"/>
      <c r="I3512" s="559"/>
      <c r="J3512" s="559"/>
      <c r="K3512" s="560"/>
      <c r="L3512" s="560"/>
      <c r="M3512" s="560"/>
    </row>
    <row r="3513" spans="3:13" s="338" customFormat="1">
      <c r="C3513" s="558"/>
      <c r="D3513" s="559"/>
      <c r="E3513" s="559"/>
      <c r="F3513" s="559"/>
      <c r="G3513" s="558"/>
      <c r="H3513" s="559"/>
      <c r="I3513" s="559"/>
      <c r="J3513" s="559"/>
      <c r="K3513" s="560"/>
      <c r="L3513" s="560"/>
      <c r="M3513" s="560"/>
    </row>
    <row r="3514" spans="3:13" s="338" customFormat="1">
      <c r="C3514" s="558"/>
      <c r="D3514" s="559"/>
      <c r="E3514" s="559"/>
      <c r="F3514" s="559"/>
      <c r="G3514" s="558"/>
      <c r="H3514" s="559"/>
      <c r="I3514" s="559"/>
      <c r="J3514" s="559"/>
      <c r="K3514" s="560"/>
      <c r="L3514" s="560"/>
      <c r="M3514" s="560"/>
    </row>
    <row r="3515" spans="3:13" s="338" customFormat="1">
      <c r="C3515" s="558"/>
      <c r="D3515" s="559"/>
      <c r="E3515" s="559"/>
      <c r="F3515" s="559"/>
      <c r="G3515" s="558"/>
      <c r="H3515" s="559"/>
      <c r="I3515" s="559"/>
      <c r="J3515" s="559"/>
      <c r="K3515" s="560"/>
      <c r="L3515" s="560"/>
      <c r="M3515" s="560"/>
    </row>
    <row r="3516" spans="3:13" s="338" customFormat="1">
      <c r="C3516" s="558"/>
      <c r="D3516" s="559"/>
      <c r="E3516" s="559"/>
      <c r="F3516" s="559"/>
      <c r="G3516" s="558"/>
      <c r="H3516" s="559"/>
      <c r="I3516" s="559"/>
      <c r="J3516" s="559"/>
      <c r="K3516" s="560"/>
      <c r="L3516" s="560"/>
      <c r="M3516" s="560"/>
    </row>
    <row r="3517" spans="3:13" s="338" customFormat="1">
      <c r="C3517" s="558"/>
      <c r="D3517" s="559"/>
      <c r="E3517" s="559"/>
      <c r="F3517" s="559"/>
      <c r="G3517" s="558"/>
      <c r="H3517" s="559"/>
      <c r="I3517" s="559"/>
      <c r="J3517" s="559"/>
      <c r="K3517" s="560"/>
      <c r="L3517" s="560"/>
      <c r="M3517" s="560"/>
    </row>
    <row r="3518" spans="3:13" s="338" customFormat="1">
      <c r="C3518" s="558"/>
      <c r="D3518" s="559"/>
      <c r="E3518" s="559"/>
      <c r="F3518" s="559"/>
      <c r="G3518" s="558"/>
      <c r="H3518" s="559"/>
      <c r="I3518" s="559"/>
      <c r="J3518" s="559"/>
      <c r="K3518" s="560"/>
      <c r="L3518" s="560"/>
      <c r="M3518" s="560"/>
    </row>
    <row r="3519" spans="3:13" s="338" customFormat="1">
      <c r="C3519" s="558"/>
      <c r="D3519" s="559"/>
      <c r="E3519" s="559"/>
      <c r="F3519" s="559"/>
      <c r="G3519" s="558"/>
      <c r="H3519" s="559"/>
      <c r="I3519" s="559"/>
      <c r="J3519" s="559"/>
      <c r="K3519" s="560"/>
      <c r="L3519" s="560"/>
      <c r="M3519" s="560"/>
    </row>
    <row r="3520" spans="3:13" s="338" customFormat="1">
      <c r="C3520" s="558"/>
      <c r="D3520" s="559"/>
      <c r="E3520" s="559"/>
      <c r="F3520" s="559"/>
      <c r="G3520" s="558"/>
      <c r="H3520" s="559"/>
      <c r="I3520" s="559"/>
      <c r="J3520" s="559"/>
      <c r="K3520" s="560"/>
      <c r="L3520" s="560"/>
      <c r="M3520" s="560"/>
    </row>
    <row r="3521" spans="3:13" s="338" customFormat="1">
      <c r="C3521" s="558"/>
      <c r="D3521" s="559"/>
      <c r="E3521" s="559"/>
      <c r="F3521" s="559"/>
      <c r="G3521" s="558"/>
      <c r="H3521" s="559"/>
      <c r="I3521" s="559"/>
      <c r="J3521" s="559"/>
      <c r="K3521" s="560"/>
      <c r="L3521" s="560"/>
      <c r="M3521" s="560"/>
    </row>
    <row r="3522" spans="3:13" s="338" customFormat="1">
      <c r="C3522" s="558"/>
      <c r="D3522" s="559"/>
      <c r="E3522" s="559"/>
      <c r="F3522" s="559"/>
      <c r="G3522" s="558"/>
      <c r="H3522" s="559"/>
      <c r="I3522" s="559"/>
      <c r="J3522" s="559"/>
      <c r="K3522" s="560"/>
      <c r="L3522" s="560"/>
      <c r="M3522" s="560"/>
    </row>
    <row r="3523" spans="3:13" s="338" customFormat="1">
      <c r="C3523" s="558"/>
      <c r="D3523" s="559"/>
      <c r="E3523" s="559"/>
      <c r="F3523" s="559"/>
      <c r="G3523" s="558"/>
      <c r="H3523" s="559"/>
      <c r="I3523" s="559"/>
      <c r="J3523" s="559"/>
      <c r="K3523" s="560"/>
      <c r="L3523" s="560"/>
      <c r="M3523" s="560"/>
    </row>
    <row r="3524" spans="3:13" s="338" customFormat="1">
      <c r="C3524" s="558"/>
      <c r="D3524" s="559"/>
      <c r="E3524" s="559"/>
      <c r="F3524" s="559"/>
      <c r="G3524" s="558"/>
      <c r="H3524" s="559"/>
      <c r="I3524" s="559"/>
      <c r="J3524" s="559"/>
      <c r="K3524" s="560"/>
      <c r="L3524" s="560"/>
      <c r="M3524" s="560"/>
    </row>
    <row r="3525" spans="3:13" s="338" customFormat="1">
      <c r="C3525" s="558"/>
      <c r="D3525" s="559"/>
      <c r="E3525" s="559"/>
      <c r="F3525" s="559"/>
      <c r="G3525" s="558"/>
      <c r="H3525" s="559"/>
      <c r="I3525" s="559"/>
      <c r="J3525" s="559"/>
      <c r="K3525" s="560"/>
      <c r="L3525" s="560"/>
      <c r="M3525" s="560"/>
    </row>
    <row r="3526" spans="3:13" s="338" customFormat="1">
      <c r="C3526" s="558"/>
      <c r="D3526" s="559"/>
      <c r="E3526" s="559"/>
      <c r="F3526" s="559"/>
      <c r="G3526" s="558"/>
      <c r="H3526" s="559"/>
      <c r="I3526" s="559"/>
      <c r="J3526" s="559"/>
      <c r="K3526" s="560"/>
      <c r="L3526" s="560"/>
      <c r="M3526" s="560"/>
    </row>
    <row r="3527" spans="3:13" s="338" customFormat="1">
      <c r="C3527" s="558"/>
      <c r="D3527" s="559"/>
      <c r="E3527" s="559"/>
      <c r="F3527" s="559"/>
      <c r="G3527" s="558"/>
      <c r="H3527" s="559"/>
      <c r="I3527" s="559"/>
      <c r="J3527" s="559"/>
      <c r="K3527" s="560"/>
      <c r="L3527" s="560"/>
      <c r="M3527" s="560"/>
    </row>
    <row r="3528" spans="3:13" s="338" customFormat="1">
      <c r="C3528" s="558"/>
      <c r="D3528" s="559"/>
      <c r="E3528" s="559"/>
      <c r="F3528" s="559"/>
      <c r="G3528" s="558"/>
      <c r="H3528" s="559"/>
      <c r="I3528" s="559"/>
      <c r="J3528" s="559"/>
      <c r="K3528" s="560"/>
      <c r="L3528" s="560"/>
      <c r="M3528" s="560"/>
    </row>
    <row r="3529" spans="3:13" s="338" customFormat="1">
      <c r="C3529" s="558"/>
      <c r="D3529" s="559"/>
      <c r="E3529" s="559"/>
      <c r="F3529" s="559"/>
      <c r="G3529" s="558"/>
      <c r="H3529" s="559"/>
      <c r="I3529" s="559"/>
      <c r="J3529" s="559"/>
      <c r="K3529" s="560"/>
      <c r="L3529" s="560"/>
      <c r="M3529" s="560"/>
    </row>
    <row r="3530" spans="3:13" s="338" customFormat="1">
      <c r="C3530" s="558"/>
      <c r="D3530" s="559"/>
      <c r="E3530" s="559"/>
      <c r="F3530" s="559"/>
      <c r="G3530" s="558"/>
      <c r="H3530" s="559"/>
      <c r="I3530" s="559"/>
      <c r="J3530" s="559"/>
      <c r="K3530" s="560"/>
      <c r="L3530" s="560"/>
      <c r="M3530" s="560"/>
    </row>
    <row r="3531" spans="3:13" s="338" customFormat="1">
      <c r="C3531" s="558"/>
      <c r="D3531" s="559"/>
      <c r="E3531" s="559"/>
      <c r="F3531" s="559"/>
      <c r="G3531" s="558"/>
      <c r="H3531" s="559"/>
      <c r="I3531" s="559"/>
      <c r="J3531" s="559"/>
      <c r="K3531" s="560"/>
      <c r="L3531" s="560"/>
      <c r="M3531" s="560"/>
    </row>
    <row r="3532" spans="3:13" s="338" customFormat="1">
      <c r="C3532" s="558"/>
      <c r="D3532" s="559"/>
      <c r="E3532" s="559"/>
      <c r="F3532" s="559"/>
      <c r="G3532" s="558"/>
      <c r="H3532" s="559"/>
      <c r="I3532" s="559"/>
      <c r="J3532" s="559"/>
      <c r="K3532" s="560"/>
      <c r="L3532" s="560"/>
      <c r="M3532" s="560"/>
    </row>
    <row r="3533" spans="3:13" s="338" customFormat="1">
      <c r="C3533" s="558"/>
      <c r="D3533" s="559"/>
      <c r="E3533" s="559"/>
      <c r="F3533" s="559"/>
      <c r="G3533" s="558"/>
      <c r="H3533" s="559"/>
      <c r="I3533" s="559"/>
      <c r="J3533" s="559"/>
      <c r="K3533" s="560"/>
      <c r="L3533" s="560"/>
      <c r="M3533" s="560"/>
    </row>
    <row r="3534" spans="3:13" s="338" customFormat="1">
      <c r="C3534" s="558"/>
      <c r="D3534" s="559"/>
      <c r="E3534" s="559"/>
      <c r="F3534" s="559"/>
      <c r="G3534" s="558"/>
      <c r="H3534" s="559"/>
      <c r="I3534" s="559"/>
      <c r="J3534" s="559"/>
      <c r="K3534" s="560"/>
      <c r="L3534" s="560"/>
      <c r="M3534" s="560"/>
    </row>
    <row r="3535" spans="3:13" s="338" customFormat="1">
      <c r="C3535" s="558"/>
      <c r="D3535" s="559"/>
      <c r="E3535" s="559"/>
      <c r="F3535" s="559"/>
      <c r="G3535" s="558"/>
      <c r="H3535" s="559"/>
      <c r="I3535" s="559"/>
      <c r="J3535" s="559"/>
      <c r="K3535" s="560"/>
      <c r="L3535" s="560"/>
      <c r="M3535" s="560"/>
    </row>
    <row r="3536" spans="3:13" s="338" customFormat="1">
      <c r="C3536" s="558"/>
      <c r="D3536" s="559"/>
      <c r="E3536" s="559"/>
      <c r="F3536" s="559"/>
      <c r="G3536" s="558"/>
      <c r="H3536" s="559"/>
      <c r="I3536" s="559"/>
      <c r="J3536" s="559"/>
      <c r="K3536" s="560"/>
      <c r="L3536" s="560"/>
      <c r="M3536" s="560"/>
    </row>
    <row r="3537" spans="3:13" s="338" customFormat="1">
      <c r="C3537" s="558"/>
      <c r="D3537" s="559"/>
      <c r="E3537" s="559"/>
      <c r="F3537" s="559"/>
      <c r="G3537" s="558"/>
      <c r="H3537" s="559"/>
      <c r="I3537" s="559"/>
      <c r="J3537" s="559"/>
      <c r="K3537" s="560"/>
      <c r="L3537" s="560"/>
      <c r="M3537" s="560"/>
    </row>
    <row r="3538" spans="3:13" s="338" customFormat="1">
      <c r="C3538" s="558"/>
      <c r="D3538" s="559"/>
      <c r="E3538" s="559"/>
      <c r="F3538" s="559"/>
      <c r="G3538" s="558"/>
      <c r="H3538" s="559"/>
      <c r="I3538" s="559"/>
      <c r="J3538" s="559"/>
      <c r="K3538" s="560"/>
      <c r="L3538" s="560"/>
      <c r="M3538" s="560"/>
    </row>
    <row r="3539" spans="3:13" s="338" customFormat="1">
      <c r="C3539" s="558"/>
      <c r="D3539" s="559"/>
      <c r="E3539" s="559"/>
      <c r="F3539" s="559"/>
      <c r="G3539" s="558"/>
      <c r="H3539" s="559"/>
      <c r="I3539" s="559"/>
      <c r="J3539" s="559"/>
      <c r="K3539" s="560"/>
      <c r="L3539" s="560"/>
      <c r="M3539" s="560"/>
    </row>
    <row r="3540" spans="3:13" s="338" customFormat="1">
      <c r="C3540" s="558"/>
      <c r="D3540" s="559"/>
      <c r="E3540" s="559"/>
      <c r="F3540" s="559"/>
      <c r="G3540" s="558"/>
      <c r="H3540" s="559"/>
      <c r="I3540" s="559"/>
      <c r="J3540" s="559"/>
      <c r="K3540" s="560"/>
      <c r="L3540" s="560"/>
      <c r="M3540" s="560"/>
    </row>
    <row r="3541" spans="3:13" s="338" customFormat="1">
      <c r="C3541" s="558"/>
      <c r="D3541" s="559"/>
      <c r="E3541" s="559"/>
      <c r="F3541" s="559"/>
      <c r="G3541" s="558"/>
      <c r="H3541" s="559"/>
      <c r="I3541" s="559"/>
      <c r="J3541" s="559"/>
      <c r="K3541" s="560"/>
      <c r="L3541" s="560"/>
      <c r="M3541" s="560"/>
    </row>
    <row r="3542" spans="3:13" s="338" customFormat="1">
      <c r="C3542" s="558"/>
      <c r="D3542" s="559"/>
      <c r="E3542" s="559"/>
      <c r="F3542" s="559"/>
      <c r="G3542" s="558"/>
      <c r="H3542" s="559"/>
      <c r="I3542" s="559"/>
      <c r="J3542" s="559"/>
      <c r="K3542" s="560"/>
      <c r="L3542" s="560"/>
      <c r="M3542" s="560"/>
    </row>
    <row r="3543" spans="3:13" s="338" customFormat="1">
      <c r="C3543" s="558"/>
      <c r="D3543" s="559"/>
      <c r="E3543" s="559"/>
      <c r="F3543" s="559"/>
      <c r="G3543" s="558"/>
      <c r="H3543" s="559"/>
      <c r="I3543" s="559"/>
      <c r="J3543" s="559"/>
      <c r="K3543" s="560"/>
      <c r="L3543" s="560"/>
      <c r="M3543" s="560"/>
    </row>
    <row r="3544" spans="3:13" s="338" customFormat="1">
      <c r="C3544" s="558"/>
      <c r="D3544" s="559"/>
      <c r="E3544" s="559"/>
      <c r="F3544" s="559"/>
      <c r="G3544" s="558"/>
      <c r="H3544" s="559"/>
      <c r="I3544" s="559"/>
      <c r="J3544" s="559"/>
      <c r="K3544" s="560"/>
      <c r="L3544" s="560"/>
      <c r="M3544" s="560"/>
    </row>
    <row r="3545" spans="3:13" s="338" customFormat="1">
      <c r="C3545" s="558"/>
      <c r="D3545" s="559"/>
      <c r="E3545" s="559"/>
      <c r="F3545" s="559"/>
      <c r="G3545" s="558"/>
      <c r="H3545" s="559"/>
      <c r="I3545" s="559"/>
      <c r="J3545" s="559"/>
      <c r="K3545" s="560"/>
      <c r="L3545" s="560"/>
      <c r="M3545" s="560"/>
    </row>
    <row r="3546" spans="3:13" s="338" customFormat="1">
      <c r="C3546" s="558"/>
      <c r="D3546" s="559"/>
      <c r="E3546" s="559"/>
      <c r="F3546" s="559"/>
      <c r="G3546" s="558"/>
      <c r="H3546" s="559"/>
      <c r="I3546" s="559"/>
      <c r="J3546" s="559"/>
      <c r="K3546" s="560"/>
      <c r="L3546" s="560"/>
      <c r="M3546" s="560"/>
    </row>
    <row r="3547" spans="3:13" s="338" customFormat="1">
      <c r="C3547" s="558"/>
      <c r="D3547" s="559"/>
      <c r="E3547" s="559"/>
      <c r="F3547" s="559"/>
      <c r="G3547" s="558"/>
      <c r="H3547" s="559"/>
      <c r="I3547" s="559"/>
      <c r="J3547" s="559"/>
      <c r="K3547" s="560"/>
      <c r="L3547" s="560"/>
      <c r="M3547" s="560"/>
    </row>
    <row r="3548" spans="3:13" s="338" customFormat="1">
      <c r="C3548" s="558"/>
      <c r="D3548" s="559"/>
      <c r="E3548" s="559"/>
      <c r="F3548" s="559"/>
      <c r="G3548" s="558"/>
      <c r="H3548" s="559"/>
      <c r="I3548" s="559"/>
      <c r="J3548" s="559"/>
      <c r="K3548" s="560"/>
      <c r="L3548" s="560"/>
      <c r="M3548" s="560"/>
    </row>
    <row r="3549" spans="3:13" s="338" customFormat="1">
      <c r="C3549" s="558"/>
      <c r="D3549" s="559"/>
      <c r="E3549" s="559"/>
      <c r="F3549" s="559"/>
      <c r="G3549" s="558"/>
      <c r="H3549" s="559"/>
      <c r="I3549" s="559"/>
      <c r="J3549" s="559"/>
      <c r="K3549" s="560"/>
      <c r="L3549" s="560"/>
      <c r="M3549" s="560"/>
    </row>
    <row r="3550" spans="3:13" s="338" customFormat="1">
      <c r="C3550" s="558"/>
      <c r="D3550" s="559"/>
      <c r="E3550" s="559"/>
      <c r="F3550" s="559"/>
      <c r="G3550" s="558"/>
      <c r="H3550" s="559"/>
      <c r="I3550" s="559"/>
      <c r="J3550" s="559"/>
      <c r="K3550" s="560"/>
      <c r="L3550" s="560"/>
      <c r="M3550" s="560"/>
    </row>
    <row r="3551" spans="3:13" s="338" customFormat="1">
      <c r="C3551" s="558"/>
      <c r="D3551" s="559"/>
      <c r="E3551" s="559"/>
      <c r="F3551" s="559"/>
      <c r="G3551" s="558"/>
      <c r="H3551" s="559"/>
      <c r="I3551" s="559"/>
      <c r="J3551" s="559"/>
      <c r="K3551" s="560"/>
      <c r="L3551" s="560"/>
      <c r="M3551" s="560"/>
    </row>
    <row r="3552" spans="3:13" s="338" customFormat="1">
      <c r="C3552" s="558"/>
      <c r="D3552" s="559"/>
      <c r="E3552" s="559"/>
      <c r="F3552" s="559"/>
      <c r="G3552" s="558"/>
      <c r="H3552" s="559"/>
      <c r="I3552" s="559"/>
      <c r="J3552" s="559"/>
      <c r="K3552" s="560"/>
      <c r="L3552" s="560"/>
      <c r="M3552" s="560"/>
    </row>
    <row r="3553" spans="3:13" s="338" customFormat="1">
      <c r="C3553" s="558"/>
      <c r="D3553" s="559"/>
      <c r="E3553" s="559"/>
      <c r="F3553" s="559"/>
      <c r="G3553" s="558"/>
      <c r="H3553" s="559"/>
      <c r="I3553" s="559"/>
      <c r="J3553" s="559"/>
      <c r="K3553" s="560"/>
      <c r="L3553" s="560"/>
      <c r="M3553" s="560"/>
    </row>
    <row r="3554" spans="3:13" s="338" customFormat="1">
      <c r="C3554" s="558"/>
      <c r="D3554" s="559"/>
      <c r="E3554" s="559"/>
      <c r="F3554" s="559"/>
      <c r="G3554" s="558"/>
      <c r="H3554" s="559"/>
      <c r="I3554" s="559"/>
      <c r="J3554" s="559"/>
      <c r="K3554" s="560"/>
      <c r="L3554" s="560"/>
      <c r="M3554" s="560"/>
    </row>
    <row r="3555" spans="3:13" s="338" customFormat="1">
      <c r="C3555" s="558"/>
      <c r="D3555" s="559"/>
      <c r="E3555" s="559"/>
      <c r="F3555" s="559"/>
      <c r="G3555" s="558"/>
      <c r="H3555" s="559"/>
      <c r="I3555" s="559"/>
      <c r="J3555" s="559"/>
      <c r="K3555" s="560"/>
      <c r="L3555" s="560"/>
      <c r="M3555" s="560"/>
    </row>
    <row r="3556" spans="3:13" s="338" customFormat="1">
      <c r="C3556" s="558"/>
      <c r="D3556" s="559"/>
      <c r="E3556" s="559"/>
      <c r="F3556" s="559"/>
      <c r="G3556" s="558"/>
      <c r="H3556" s="559"/>
      <c r="I3556" s="559"/>
      <c r="J3556" s="559"/>
      <c r="K3556" s="560"/>
      <c r="L3556" s="560"/>
      <c r="M3556" s="560"/>
    </row>
    <row r="3557" spans="3:13" s="338" customFormat="1">
      <c r="C3557" s="558"/>
      <c r="D3557" s="559"/>
      <c r="E3557" s="559"/>
      <c r="F3557" s="559"/>
      <c r="G3557" s="558"/>
      <c r="H3557" s="559"/>
      <c r="I3557" s="559"/>
      <c r="J3557" s="559"/>
      <c r="K3557" s="560"/>
      <c r="L3557" s="560"/>
      <c r="M3557" s="560"/>
    </row>
    <row r="3558" spans="3:13" s="338" customFormat="1">
      <c r="C3558" s="558"/>
      <c r="D3558" s="559"/>
      <c r="E3558" s="559"/>
      <c r="F3558" s="559"/>
      <c r="G3558" s="558"/>
      <c r="H3558" s="559"/>
      <c r="I3558" s="559"/>
      <c r="J3558" s="559"/>
      <c r="K3558" s="560"/>
      <c r="L3558" s="560"/>
      <c r="M3558" s="560"/>
    </row>
    <row r="3559" spans="3:13" s="338" customFormat="1">
      <c r="C3559" s="558"/>
      <c r="D3559" s="559"/>
      <c r="E3559" s="559"/>
      <c r="F3559" s="559"/>
      <c r="G3559" s="558"/>
      <c r="H3559" s="559"/>
      <c r="I3559" s="559"/>
      <c r="J3559" s="559"/>
      <c r="K3559" s="560"/>
      <c r="L3559" s="560"/>
      <c r="M3559" s="560"/>
    </row>
    <row r="3560" spans="3:13" s="338" customFormat="1">
      <c r="C3560" s="558"/>
      <c r="D3560" s="559"/>
      <c r="E3560" s="559"/>
      <c r="F3560" s="559"/>
      <c r="G3560" s="558"/>
      <c r="H3560" s="559"/>
      <c r="I3560" s="559"/>
      <c r="J3560" s="559"/>
      <c r="K3560" s="560"/>
      <c r="L3560" s="560"/>
      <c r="M3560" s="560"/>
    </row>
    <row r="3561" spans="3:13" s="338" customFormat="1">
      <c r="C3561" s="558"/>
      <c r="D3561" s="559"/>
      <c r="E3561" s="559"/>
      <c r="F3561" s="559"/>
      <c r="G3561" s="558"/>
      <c r="H3561" s="559"/>
      <c r="I3561" s="559"/>
      <c r="J3561" s="559"/>
      <c r="K3561" s="560"/>
      <c r="L3561" s="560"/>
      <c r="M3561" s="560"/>
    </row>
    <row r="3562" spans="3:13" s="338" customFormat="1">
      <c r="C3562" s="558"/>
      <c r="D3562" s="559"/>
      <c r="E3562" s="559"/>
      <c r="F3562" s="559"/>
      <c r="G3562" s="558"/>
      <c r="H3562" s="559"/>
      <c r="I3562" s="559"/>
      <c r="J3562" s="559"/>
      <c r="K3562" s="560"/>
      <c r="L3562" s="560"/>
      <c r="M3562" s="560"/>
    </row>
    <row r="3563" spans="3:13" s="338" customFormat="1">
      <c r="C3563" s="558"/>
      <c r="D3563" s="559"/>
      <c r="E3563" s="559"/>
      <c r="F3563" s="559"/>
      <c r="G3563" s="558"/>
      <c r="H3563" s="559"/>
      <c r="I3563" s="559"/>
      <c r="J3563" s="559"/>
      <c r="K3563" s="560"/>
      <c r="L3563" s="560"/>
      <c r="M3563" s="560"/>
    </row>
    <row r="3564" spans="3:13" s="338" customFormat="1">
      <c r="C3564" s="558"/>
      <c r="D3564" s="559"/>
      <c r="E3564" s="559"/>
      <c r="F3564" s="559"/>
      <c r="G3564" s="558"/>
      <c r="H3564" s="559"/>
      <c r="I3564" s="559"/>
      <c r="J3564" s="559"/>
      <c r="K3564" s="560"/>
      <c r="L3564" s="560"/>
      <c r="M3564" s="560"/>
    </row>
    <row r="3565" spans="3:13" s="338" customFormat="1">
      <c r="C3565" s="558"/>
      <c r="D3565" s="559"/>
      <c r="E3565" s="559"/>
      <c r="F3565" s="559"/>
      <c r="G3565" s="558"/>
      <c r="H3565" s="559"/>
      <c r="I3565" s="559"/>
      <c r="J3565" s="559"/>
      <c r="K3565" s="560"/>
      <c r="L3565" s="560"/>
      <c r="M3565" s="560"/>
    </row>
    <row r="3566" spans="3:13" s="338" customFormat="1">
      <c r="C3566" s="558"/>
      <c r="D3566" s="559"/>
      <c r="E3566" s="559"/>
      <c r="F3566" s="559"/>
      <c r="G3566" s="558"/>
      <c r="H3566" s="559"/>
      <c r="I3566" s="559"/>
      <c r="J3566" s="559"/>
      <c r="K3566" s="560"/>
      <c r="L3566" s="560"/>
      <c r="M3566" s="560"/>
    </row>
    <row r="3567" spans="3:13" s="338" customFormat="1">
      <c r="C3567" s="558"/>
      <c r="D3567" s="559"/>
      <c r="E3567" s="559"/>
      <c r="F3567" s="559"/>
      <c r="G3567" s="558"/>
      <c r="H3567" s="559"/>
      <c r="I3567" s="559"/>
      <c r="J3567" s="559"/>
      <c r="K3567" s="560"/>
      <c r="L3567" s="560"/>
      <c r="M3567" s="560"/>
    </row>
    <row r="3568" spans="3:13" s="338" customFormat="1">
      <c r="C3568" s="558"/>
      <c r="D3568" s="559"/>
      <c r="E3568" s="559"/>
      <c r="F3568" s="559"/>
      <c r="G3568" s="558"/>
      <c r="H3568" s="559"/>
      <c r="I3568" s="559"/>
      <c r="J3568" s="559"/>
      <c r="K3568" s="560"/>
      <c r="L3568" s="560"/>
      <c r="M3568" s="560"/>
    </row>
    <row r="3569" spans="3:13" s="338" customFormat="1">
      <c r="C3569" s="558"/>
      <c r="D3569" s="559"/>
      <c r="E3569" s="559"/>
      <c r="F3569" s="559"/>
      <c r="G3569" s="558"/>
      <c r="H3569" s="559"/>
      <c r="I3569" s="559"/>
      <c r="J3569" s="559"/>
      <c r="K3569" s="560"/>
      <c r="L3569" s="560"/>
      <c r="M3569" s="560"/>
    </row>
    <row r="3570" spans="3:13" s="338" customFormat="1">
      <c r="C3570" s="558"/>
      <c r="D3570" s="559"/>
      <c r="E3570" s="559"/>
      <c r="F3570" s="559"/>
      <c r="G3570" s="558"/>
      <c r="H3570" s="559"/>
      <c r="I3570" s="559"/>
      <c r="J3570" s="559"/>
      <c r="K3570" s="560"/>
      <c r="L3570" s="560"/>
      <c r="M3570" s="560"/>
    </row>
    <row r="3571" spans="3:13" s="338" customFormat="1">
      <c r="C3571" s="558"/>
      <c r="D3571" s="559"/>
      <c r="E3571" s="559"/>
      <c r="F3571" s="559"/>
      <c r="G3571" s="558"/>
      <c r="H3571" s="559"/>
      <c r="I3571" s="559"/>
      <c r="J3571" s="559"/>
      <c r="K3571" s="560"/>
      <c r="L3571" s="560"/>
      <c r="M3571" s="560"/>
    </row>
    <row r="3572" spans="3:13" s="338" customFormat="1">
      <c r="C3572" s="558"/>
      <c r="D3572" s="559"/>
      <c r="E3572" s="559"/>
      <c r="F3572" s="559"/>
      <c r="G3572" s="558"/>
      <c r="H3572" s="559"/>
      <c r="I3572" s="559"/>
      <c r="J3572" s="559"/>
      <c r="K3572" s="560"/>
      <c r="L3572" s="560"/>
      <c r="M3572" s="560"/>
    </row>
    <row r="3573" spans="3:13" s="338" customFormat="1">
      <c r="C3573" s="558"/>
      <c r="D3573" s="559"/>
      <c r="E3573" s="559"/>
      <c r="F3573" s="559"/>
      <c r="G3573" s="558"/>
      <c r="H3573" s="559"/>
      <c r="I3573" s="559"/>
      <c r="J3573" s="559"/>
      <c r="K3573" s="560"/>
      <c r="L3573" s="560"/>
      <c r="M3573" s="560"/>
    </row>
    <row r="3574" spans="3:13" s="338" customFormat="1">
      <c r="C3574" s="558"/>
      <c r="D3574" s="559"/>
      <c r="E3574" s="559"/>
      <c r="F3574" s="559"/>
      <c r="G3574" s="558"/>
      <c r="H3574" s="559"/>
      <c r="I3574" s="559"/>
      <c r="J3574" s="559"/>
      <c r="K3574" s="560"/>
      <c r="L3574" s="560"/>
      <c r="M3574" s="560"/>
    </row>
    <row r="3575" spans="3:13" s="338" customFormat="1">
      <c r="C3575" s="558"/>
      <c r="D3575" s="559"/>
      <c r="E3575" s="559"/>
      <c r="F3575" s="559"/>
      <c r="G3575" s="558"/>
      <c r="H3575" s="559"/>
      <c r="I3575" s="559"/>
      <c r="J3575" s="559"/>
      <c r="K3575" s="560"/>
      <c r="L3575" s="560"/>
      <c r="M3575" s="560"/>
    </row>
    <row r="3576" spans="3:13" s="338" customFormat="1">
      <c r="C3576" s="558"/>
      <c r="D3576" s="559"/>
      <c r="E3576" s="559"/>
      <c r="F3576" s="559"/>
      <c r="G3576" s="558"/>
      <c r="H3576" s="559"/>
      <c r="I3576" s="559"/>
      <c r="J3576" s="559"/>
      <c r="K3576" s="560"/>
      <c r="L3576" s="560"/>
      <c r="M3576" s="560"/>
    </row>
    <row r="3577" spans="3:13" s="338" customFormat="1">
      <c r="C3577" s="558"/>
      <c r="D3577" s="559"/>
      <c r="E3577" s="559"/>
      <c r="F3577" s="559"/>
      <c r="G3577" s="558"/>
      <c r="H3577" s="559"/>
      <c r="I3577" s="559"/>
      <c r="J3577" s="559"/>
      <c r="K3577" s="560"/>
      <c r="L3577" s="560"/>
      <c r="M3577" s="560"/>
    </row>
    <row r="3578" spans="3:13" s="338" customFormat="1">
      <c r="C3578" s="558"/>
      <c r="D3578" s="559"/>
      <c r="E3578" s="559"/>
      <c r="F3578" s="559"/>
      <c r="G3578" s="558"/>
      <c r="H3578" s="559"/>
      <c r="I3578" s="559"/>
      <c r="J3578" s="559"/>
      <c r="K3578" s="560"/>
      <c r="L3578" s="560"/>
      <c r="M3578" s="560"/>
    </row>
    <row r="3579" spans="3:13" s="338" customFormat="1">
      <c r="C3579" s="558"/>
      <c r="D3579" s="559"/>
      <c r="E3579" s="559"/>
      <c r="F3579" s="559"/>
      <c r="G3579" s="558"/>
      <c r="H3579" s="559"/>
      <c r="I3579" s="559"/>
      <c r="J3579" s="559"/>
      <c r="K3579" s="560"/>
      <c r="L3579" s="560"/>
      <c r="M3579" s="560"/>
    </row>
    <row r="3580" spans="3:13" s="338" customFormat="1">
      <c r="C3580" s="558"/>
      <c r="D3580" s="559"/>
      <c r="E3580" s="559"/>
      <c r="F3580" s="559"/>
      <c r="G3580" s="558"/>
      <c r="H3580" s="559"/>
      <c r="I3580" s="559"/>
      <c r="J3580" s="559"/>
      <c r="K3580" s="560"/>
      <c r="L3580" s="560"/>
      <c r="M3580" s="560"/>
    </row>
    <row r="3581" spans="3:13" s="338" customFormat="1">
      <c r="C3581" s="558"/>
      <c r="D3581" s="559"/>
      <c r="E3581" s="559"/>
      <c r="F3581" s="559"/>
      <c r="G3581" s="558"/>
      <c r="H3581" s="559"/>
      <c r="I3581" s="559"/>
      <c r="J3581" s="559"/>
      <c r="K3581" s="560"/>
      <c r="L3581" s="560"/>
      <c r="M3581" s="560"/>
    </row>
    <row r="3582" spans="3:13" s="338" customFormat="1">
      <c r="C3582" s="558"/>
      <c r="D3582" s="559"/>
      <c r="E3582" s="559"/>
      <c r="F3582" s="559"/>
      <c r="G3582" s="558"/>
      <c r="H3582" s="559"/>
      <c r="I3582" s="559"/>
      <c r="J3582" s="559"/>
      <c r="K3582" s="560"/>
      <c r="L3582" s="560"/>
      <c r="M3582" s="560"/>
    </row>
    <row r="3583" spans="3:13" s="338" customFormat="1">
      <c r="C3583" s="558"/>
      <c r="D3583" s="559"/>
      <c r="E3583" s="559"/>
      <c r="F3583" s="559"/>
      <c r="G3583" s="558"/>
      <c r="H3583" s="559"/>
      <c r="I3583" s="559"/>
      <c r="J3583" s="559"/>
      <c r="K3583" s="560"/>
      <c r="L3583" s="560"/>
      <c r="M3583" s="560"/>
    </row>
    <row r="3584" spans="3:13" s="338" customFormat="1">
      <c r="C3584" s="558"/>
      <c r="D3584" s="559"/>
      <c r="E3584" s="559"/>
      <c r="F3584" s="559"/>
      <c r="G3584" s="558"/>
      <c r="H3584" s="559"/>
      <c r="I3584" s="559"/>
      <c r="J3584" s="559"/>
      <c r="K3584" s="560"/>
      <c r="L3584" s="560"/>
      <c r="M3584" s="560"/>
    </row>
    <row r="3585" spans="3:13" s="338" customFormat="1">
      <c r="C3585" s="558"/>
      <c r="D3585" s="559"/>
      <c r="E3585" s="559"/>
      <c r="F3585" s="559"/>
      <c r="G3585" s="558"/>
      <c r="H3585" s="559"/>
      <c r="I3585" s="559"/>
      <c r="J3585" s="559"/>
      <c r="K3585" s="560"/>
      <c r="L3585" s="560"/>
      <c r="M3585" s="560"/>
    </row>
    <row r="3586" spans="3:13" s="338" customFormat="1">
      <c r="C3586" s="558"/>
      <c r="D3586" s="559"/>
      <c r="E3586" s="559"/>
      <c r="F3586" s="559"/>
      <c r="G3586" s="558"/>
      <c r="H3586" s="559"/>
      <c r="I3586" s="559"/>
      <c r="J3586" s="559"/>
      <c r="K3586" s="560"/>
      <c r="L3586" s="560"/>
      <c r="M3586" s="560"/>
    </row>
    <row r="3587" spans="3:13" s="338" customFormat="1">
      <c r="C3587" s="558"/>
      <c r="D3587" s="559"/>
      <c r="E3587" s="559"/>
      <c r="F3587" s="559"/>
      <c r="G3587" s="558"/>
      <c r="H3587" s="559"/>
      <c r="I3587" s="559"/>
      <c r="J3587" s="559"/>
      <c r="K3587" s="560"/>
      <c r="L3587" s="560"/>
      <c r="M3587" s="560"/>
    </row>
    <row r="3588" spans="3:13" s="338" customFormat="1">
      <c r="C3588" s="558"/>
      <c r="D3588" s="559"/>
      <c r="E3588" s="559"/>
      <c r="F3588" s="559"/>
      <c r="G3588" s="558"/>
      <c r="H3588" s="559"/>
      <c r="I3588" s="559"/>
      <c r="J3588" s="559"/>
      <c r="K3588" s="560"/>
      <c r="L3588" s="560"/>
      <c r="M3588" s="560"/>
    </row>
    <row r="3589" spans="3:13" s="338" customFormat="1">
      <c r="C3589" s="558"/>
      <c r="D3589" s="559"/>
      <c r="E3589" s="559"/>
      <c r="F3589" s="559"/>
      <c r="G3589" s="558"/>
      <c r="H3589" s="559"/>
      <c r="I3589" s="559"/>
      <c r="J3589" s="559"/>
      <c r="K3589" s="560"/>
      <c r="L3589" s="560"/>
      <c r="M3589" s="560"/>
    </row>
    <row r="3590" spans="3:13" s="338" customFormat="1">
      <c r="C3590" s="558"/>
      <c r="D3590" s="559"/>
      <c r="E3590" s="559"/>
      <c r="F3590" s="559"/>
      <c r="G3590" s="558"/>
      <c r="H3590" s="559"/>
      <c r="I3590" s="559"/>
      <c r="J3590" s="559"/>
      <c r="K3590" s="560"/>
      <c r="L3590" s="560"/>
      <c r="M3590" s="560"/>
    </row>
    <row r="3591" spans="3:13" s="338" customFormat="1">
      <c r="C3591" s="558"/>
      <c r="D3591" s="559"/>
      <c r="E3591" s="559"/>
      <c r="F3591" s="559"/>
      <c r="G3591" s="558"/>
      <c r="H3591" s="559"/>
      <c r="I3591" s="559"/>
      <c r="J3591" s="559"/>
      <c r="K3591" s="560"/>
      <c r="L3591" s="560"/>
      <c r="M3591" s="560"/>
    </row>
    <row r="3592" spans="3:13" s="338" customFormat="1">
      <c r="C3592" s="558"/>
      <c r="D3592" s="559"/>
      <c r="E3592" s="559"/>
      <c r="F3592" s="559"/>
      <c r="G3592" s="558"/>
      <c r="H3592" s="559"/>
      <c r="I3592" s="559"/>
      <c r="J3592" s="559"/>
      <c r="K3592" s="560"/>
      <c r="L3592" s="560"/>
      <c r="M3592" s="560"/>
    </row>
    <row r="3593" spans="3:13" s="338" customFormat="1">
      <c r="C3593" s="558"/>
      <c r="D3593" s="559"/>
      <c r="E3593" s="559"/>
      <c r="F3593" s="559"/>
      <c r="G3593" s="558"/>
      <c r="H3593" s="559"/>
      <c r="I3593" s="559"/>
      <c r="J3593" s="559"/>
      <c r="K3593" s="560"/>
      <c r="L3593" s="560"/>
      <c r="M3593" s="560"/>
    </row>
    <row r="3594" spans="3:13" s="338" customFormat="1">
      <c r="C3594" s="558"/>
      <c r="D3594" s="559"/>
      <c r="E3594" s="559"/>
      <c r="F3594" s="559"/>
      <c r="G3594" s="558"/>
      <c r="H3594" s="559"/>
      <c r="I3594" s="559"/>
      <c r="J3594" s="559"/>
      <c r="K3594" s="560"/>
      <c r="L3594" s="560"/>
      <c r="M3594" s="560"/>
    </row>
    <row r="3595" spans="3:13" s="338" customFormat="1">
      <c r="C3595" s="558"/>
      <c r="D3595" s="559"/>
      <c r="E3595" s="559"/>
      <c r="F3595" s="559"/>
      <c r="G3595" s="558"/>
      <c r="H3595" s="559"/>
      <c r="I3595" s="559"/>
      <c r="J3595" s="559"/>
      <c r="K3595" s="560"/>
      <c r="L3595" s="560"/>
      <c r="M3595" s="560"/>
    </row>
    <row r="3596" spans="3:13" s="338" customFormat="1">
      <c r="C3596" s="558"/>
      <c r="D3596" s="559"/>
      <c r="E3596" s="559"/>
      <c r="F3596" s="559"/>
      <c r="G3596" s="558"/>
      <c r="H3596" s="559"/>
      <c r="I3596" s="559"/>
      <c r="J3596" s="559"/>
      <c r="K3596" s="560"/>
      <c r="L3596" s="560"/>
      <c r="M3596" s="560"/>
    </row>
    <row r="3597" spans="3:13" s="338" customFormat="1">
      <c r="C3597" s="558"/>
      <c r="D3597" s="559"/>
      <c r="E3597" s="559"/>
      <c r="F3597" s="559"/>
      <c r="G3597" s="558"/>
      <c r="H3597" s="559"/>
      <c r="I3597" s="559"/>
      <c r="J3597" s="559"/>
      <c r="K3597" s="560"/>
      <c r="L3597" s="560"/>
      <c r="M3597" s="560"/>
    </row>
    <row r="3598" spans="3:13" s="338" customFormat="1">
      <c r="C3598" s="558"/>
      <c r="D3598" s="559"/>
      <c r="E3598" s="559"/>
      <c r="F3598" s="559"/>
      <c r="G3598" s="558"/>
      <c r="H3598" s="559"/>
      <c r="I3598" s="559"/>
      <c r="J3598" s="559"/>
      <c r="K3598" s="560"/>
      <c r="L3598" s="560"/>
      <c r="M3598" s="560"/>
    </row>
    <row r="3599" spans="3:13" s="338" customFormat="1">
      <c r="C3599" s="558"/>
      <c r="D3599" s="559"/>
      <c r="E3599" s="559"/>
      <c r="F3599" s="559"/>
      <c r="G3599" s="558"/>
      <c r="H3599" s="559"/>
      <c r="I3599" s="559"/>
      <c r="J3599" s="559"/>
      <c r="K3599" s="560"/>
      <c r="L3599" s="560"/>
      <c r="M3599" s="560"/>
    </row>
    <row r="3600" spans="3:13" s="338" customFormat="1">
      <c r="C3600" s="558"/>
      <c r="D3600" s="559"/>
      <c r="E3600" s="559"/>
      <c r="F3600" s="559"/>
      <c r="G3600" s="558"/>
      <c r="H3600" s="559"/>
      <c r="I3600" s="559"/>
      <c r="J3600" s="559"/>
      <c r="K3600" s="560"/>
      <c r="L3600" s="560"/>
      <c r="M3600" s="560"/>
    </row>
    <row r="3601" spans="3:13" s="338" customFormat="1">
      <c r="C3601" s="558"/>
      <c r="D3601" s="559"/>
      <c r="E3601" s="559"/>
      <c r="F3601" s="559"/>
      <c r="G3601" s="558"/>
      <c r="H3601" s="559"/>
      <c r="I3601" s="559"/>
      <c r="J3601" s="559"/>
      <c r="K3601" s="560"/>
      <c r="L3601" s="560"/>
      <c r="M3601" s="560"/>
    </row>
    <row r="3602" spans="3:13" s="338" customFormat="1">
      <c r="C3602" s="558"/>
      <c r="D3602" s="559"/>
      <c r="E3602" s="559"/>
      <c r="F3602" s="559"/>
      <c r="G3602" s="558"/>
      <c r="H3602" s="559"/>
      <c r="I3602" s="559"/>
      <c r="J3602" s="559"/>
      <c r="K3602" s="560"/>
      <c r="L3602" s="560"/>
      <c r="M3602" s="560"/>
    </row>
    <row r="3603" spans="3:13" s="338" customFormat="1">
      <c r="C3603" s="558"/>
      <c r="D3603" s="559"/>
      <c r="E3603" s="559"/>
      <c r="F3603" s="559"/>
      <c r="G3603" s="558"/>
      <c r="H3603" s="559"/>
      <c r="I3603" s="559"/>
      <c r="J3603" s="559"/>
      <c r="K3603" s="560"/>
      <c r="L3603" s="560"/>
      <c r="M3603" s="560"/>
    </row>
    <row r="3604" spans="3:13" s="338" customFormat="1">
      <c r="C3604" s="558"/>
      <c r="D3604" s="559"/>
      <c r="E3604" s="559"/>
      <c r="F3604" s="559"/>
      <c r="G3604" s="558"/>
      <c r="H3604" s="559"/>
      <c r="I3604" s="559"/>
      <c r="J3604" s="559"/>
      <c r="K3604" s="560"/>
      <c r="L3604" s="560"/>
      <c r="M3604" s="560"/>
    </row>
    <row r="3605" spans="3:13" s="338" customFormat="1">
      <c r="C3605" s="558"/>
      <c r="D3605" s="559"/>
      <c r="E3605" s="559"/>
      <c r="F3605" s="559"/>
      <c r="G3605" s="558"/>
      <c r="H3605" s="559"/>
      <c r="I3605" s="559"/>
      <c r="J3605" s="559"/>
      <c r="K3605" s="560"/>
      <c r="L3605" s="560"/>
      <c r="M3605" s="560"/>
    </row>
    <row r="3606" spans="3:13" s="338" customFormat="1">
      <c r="C3606" s="558"/>
      <c r="D3606" s="559"/>
      <c r="E3606" s="559"/>
      <c r="F3606" s="559"/>
      <c r="G3606" s="558"/>
      <c r="H3606" s="559"/>
      <c r="I3606" s="559"/>
      <c r="J3606" s="559"/>
      <c r="K3606" s="560"/>
      <c r="L3606" s="560"/>
      <c r="M3606" s="560"/>
    </row>
    <row r="3607" spans="3:13" s="338" customFormat="1">
      <c r="C3607" s="558"/>
      <c r="D3607" s="559"/>
      <c r="E3607" s="559"/>
      <c r="F3607" s="559"/>
      <c r="G3607" s="558"/>
      <c r="H3607" s="559"/>
      <c r="I3607" s="559"/>
      <c r="J3607" s="559"/>
      <c r="K3607" s="560"/>
      <c r="L3607" s="560"/>
      <c r="M3607" s="560"/>
    </row>
    <row r="3608" spans="3:13" s="338" customFormat="1">
      <c r="C3608" s="558"/>
      <c r="D3608" s="559"/>
      <c r="E3608" s="559"/>
      <c r="F3608" s="559"/>
      <c r="G3608" s="558"/>
      <c r="H3608" s="559"/>
      <c r="I3608" s="559"/>
      <c r="J3608" s="559"/>
      <c r="K3608" s="560"/>
      <c r="L3608" s="560"/>
      <c r="M3608" s="560"/>
    </row>
    <row r="3609" spans="3:13" s="338" customFormat="1">
      <c r="C3609" s="558"/>
      <c r="D3609" s="559"/>
      <c r="E3609" s="559"/>
      <c r="F3609" s="559"/>
      <c r="G3609" s="558"/>
      <c r="H3609" s="559"/>
      <c r="I3609" s="559"/>
      <c r="J3609" s="559"/>
      <c r="K3609" s="560"/>
      <c r="L3609" s="560"/>
      <c r="M3609" s="560"/>
    </row>
    <row r="3610" spans="3:13" s="338" customFormat="1">
      <c r="C3610" s="558"/>
      <c r="D3610" s="559"/>
      <c r="E3610" s="559"/>
      <c r="F3610" s="559"/>
      <c r="G3610" s="558"/>
      <c r="H3610" s="559"/>
      <c r="I3610" s="559"/>
      <c r="J3610" s="559"/>
      <c r="K3610" s="560"/>
      <c r="L3610" s="560"/>
      <c r="M3610" s="560"/>
    </row>
    <row r="3611" spans="3:13" s="338" customFormat="1">
      <c r="C3611" s="558"/>
      <c r="D3611" s="559"/>
      <c r="E3611" s="559"/>
      <c r="F3611" s="559"/>
      <c r="G3611" s="558"/>
      <c r="H3611" s="559"/>
      <c r="I3611" s="559"/>
      <c r="J3611" s="559"/>
      <c r="K3611" s="560"/>
      <c r="L3611" s="560"/>
      <c r="M3611" s="560"/>
    </row>
    <row r="3612" spans="3:13" s="338" customFormat="1">
      <c r="C3612" s="558"/>
      <c r="D3612" s="559"/>
      <c r="E3612" s="559"/>
      <c r="F3612" s="559"/>
      <c r="G3612" s="558"/>
      <c r="H3612" s="559"/>
      <c r="I3612" s="559"/>
      <c r="J3612" s="559"/>
      <c r="K3612" s="560"/>
      <c r="L3612" s="560"/>
      <c r="M3612" s="560"/>
    </row>
    <row r="3613" spans="3:13" s="338" customFormat="1">
      <c r="C3613" s="558"/>
      <c r="D3613" s="559"/>
      <c r="E3613" s="559"/>
      <c r="F3613" s="559"/>
      <c r="G3613" s="558"/>
      <c r="H3613" s="559"/>
      <c r="I3613" s="559"/>
      <c r="J3613" s="559"/>
      <c r="K3613" s="560"/>
      <c r="L3613" s="560"/>
      <c r="M3613" s="560"/>
    </row>
    <row r="3614" spans="3:13" s="338" customFormat="1">
      <c r="C3614" s="558"/>
      <c r="D3614" s="559"/>
      <c r="E3614" s="559"/>
      <c r="F3614" s="559"/>
      <c r="G3614" s="558"/>
      <c r="H3614" s="559"/>
      <c r="I3614" s="559"/>
      <c r="J3614" s="559"/>
      <c r="K3614" s="560"/>
      <c r="L3614" s="560"/>
      <c r="M3614" s="560"/>
    </row>
    <row r="3615" spans="3:13" s="338" customFormat="1">
      <c r="C3615" s="558"/>
      <c r="D3615" s="559"/>
      <c r="E3615" s="559"/>
      <c r="F3615" s="559"/>
      <c r="G3615" s="558"/>
      <c r="H3615" s="559"/>
      <c r="I3615" s="559"/>
      <c r="J3615" s="559"/>
      <c r="K3615" s="560"/>
      <c r="L3615" s="560"/>
      <c r="M3615" s="560"/>
    </row>
    <row r="3616" spans="3:13" s="338" customFormat="1">
      <c r="C3616" s="558"/>
      <c r="D3616" s="559"/>
      <c r="E3616" s="559"/>
      <c r="F3616" s="559"/>
      <c r="G3616" s="558"/>
      <c r="H3616" s="559"/>
      <c r="I3616" s="559"/>
      <c r="J3616" s="559"/>
      <c r="K3616" s="560"/>
      <c r="L3616" s="560"/>
      <c r="M3616" s="560"/>
    </row>
    <row r="3617" spans="3:13" s="338" customFormat="1">
      <c r="C3617" s="558"/>
      <c r="D3617" s="559"/>
      <c r="E3617" s="559"/>
      <c r="F3617" s="559"/>
      <c r="G3617" s="558"/>
      <c r="H3617" s="559"/>
      <c r="I3617" s="559"/>
      <c r="J3617" s="559"/>
      <c r="K3617" s="560"/>
      <c r="L3617" s="560"/>
      <c r="M3617" s="560"/>
    </row>
    <row r="3618" spans="3:13" s="338" customFormat="1">
      <c r="C3618" s="558"/>
      <c r="D3618" s="559"/>
      <c r="E3618" s="559"/>
      <c r="F3618" s="559"/>
      <c r="G3618" s="558"/>
      <c r="H3618" s="559"/>
      <c r="I3618" s="559"/>
      <c r="J3618" s="559"/>
      <c r="K3618" s="560"/>
      <c r="L3618" s="560"/>
      <c r="M3618" s="560"/>
    </row>
    <row r="3619" spans="3:13" s="338" customFormat="1">
      <c r="C3619" s="558"/>
      <c r="D3619" s="559"/>
      <c r="E3619" s="559"/>
      <c r="F3619" s="559"/>
      <c r="G3619" s="558"/>
      <c r="H3619" s="559"/>
      <c r="I3619" s="559"/>
      <c r="J3619" s="559"/>
      <c r="K3619" s="560"/>
      <c r="L3619" s="560"/>
      <c r="M3619" s="560"/>
    </row>
    <row r="3620" spans="3:13" s="338" customFormat="1">
      <c r="C3620" s="558"/>
      <c r="D3620" s="559"/>
      <c r="E3620" s="559"/>
      <c r="F3620" s="559"/>
      <c r="G3620" s="558"/>
      <c r="H3620" s="559"/>
      <c r="I3620" s="559"/>
      <c r="J3620" s="559"/>
      <c r="K3620" s="560"/>
      <c r="L3620" s="560"/>
      <c r="M3620" s="560"/>
    </row>
    <row r="3621" spans="3:13" s="338" customFormat="1">
      <c r="C3621" s="558"/>
      <c r="D3621" s="559"/>
      <c r="E3621" s="559"/>
      <c r="F3621" s="559"/>
      <c r="G3621" s="558"/>
      <c r="H3621" s="559"/>
      <c r="I3621" s="559"/>
      <c r="J3621" s="559"/>
      <c r="K3621" s="560"/>
      <c r="L3621" s="560"/>
      <c r="M3621" s="560"/>
    </row>
    <row r="3622" spans="3:13" s="338" customFormat="1">
      <c r="C3622" s="558"/>
      <c r="D3622" s="559"/>
      <c r="E3622" s="559"/>
      <c r="F3622" s="559"/>
      <c r="G3622" s="558"/>
      <c r="H3622" s="559"/>
      <c r="I3622" s="559"/>
      <c r="J3622" s="559"/>
      <c r="K3622" s="560"/>
      <c r="L3622" s="560"/>
      <c r="M3622" s="560"/>
    </row>
    <row r="3623" spans="3:13" s="338" customFormat="1">
      <c r="C3623" s="558"/>
      <c r="D3623" s="559"/>
      <c r="E3623" s="559"/>
      <c r="F3623" s="559"/>
      <c r="G3623" s="558"/>
      <c r="H3623" s="559"/>
      <c r="I3623" s="559"/>
      <c r="J3623" s="559"/>
      <c r="K3623" s="560"/>
      <c r="L3623" s="560"/>
      <c r="M3623" s="560"/>
    </row>
    <row r="3624" spans="3:13" s="338" customFormat="1">
      <c r="C3624" s="558"/>
      <c r="D3624" s="559"/>
      <c r="E3624" s="559"/>
      <c r="F3624" s="559"/>
      <c r="G3624" s="558"/>
      <c r="H3624" s="559"/>
      <c r="I3624" s="559"/>
      <c r="J3624" s="559"/>
      <c r="K3624" s="560"/>
      <c r="L3624" s="560"/>
      <c r="M3624" s="560"/>
    </row>
    <row r="3625" spans="3:13" s="338" customFormat="1">
      <c r="C3625" s="558"/>
      <c r="D3625" s="559"/>
      <c r="E3625" s="559"/>
      <c r="F3625" s="559"/>
      <c r="G3625" s="558"/>
      <c r="H3625" s="559"/>
      <c r="I3625" s="559"/>
      <c r="J3625" s="559"/>
      <c r="K3625" s="560"/>
      <c r="L3625" s="560"/>
      <c r="M3625" s="560"/>
    </row>
    <row r="3626" spans="3:13" s="338" customFormat="1">
      <c r="C3626" s="558"/>
      <c r="D3626" s="559"/>
      <c r="E3626" s="559"/>
      <c r="F3626" s="559"/>
      <c r="G3626" s="558"/>
      <c r="H3626" s="559"/>
      <c r="I3626" s="559"/>
      <c r="J3626" s="559"/>
      <c r="K3626" s="560"/>
      <c r="L3626" s="560"/>
      <c r="M3626" s="560"/>
    </row>
    <row r="3627" spans="3:13" s="338" customFormat="1">
      <c r="C3627" s="558"/>
      <c r="D3627" s="559"/>
      <c r="E3627" s="559"/>
      <c r="F3627" s="559"/>
      <c r="G3627" s="558"/>
      <c r="H3627" s="559"/>
      <c r="I3627" s="559"/>
      <c r="J3627" s="559"/>
      <c r="K3627" s="560"/>
      <c r="L3627" s="560"/>
      <c r="M3627" s="560"/>
    </row>
    <row r="3628" spans="3:13" s="338" customFormat="1">
      <c r="C3628" s="558"/>
      <c r="D3628" s="559"/>
      <c r="E3628" s="559"/>
      <c r="F3628" s="559"/>
      <c r="G3628" s="558"/>
      <c r="H3628" s="559"/>
      <c r="I3628" s="559"/>
      <c r="J3628" s="559"/>
      <c r="K3628" s="560"/>
      <c r="L3628" s="560"/>
      <c r="M3628" s="560"/>
    </row>
    <row r="3629" spans="3:13" s="338" customFormat="1">
      <c r="C3629" s="558"/>
      <c r="D3629" s="559"/>
      <c r="E3629" s="559"/>
      <c r="F3629" s="559"/>
      <c r="G3629" s="558"/>
      <c r="H3629" s="559"/>
      <c r="I3629" s="559"/>
      <c r="J3629" s="559"/>
      <c r="K3629" s="560"/>
      <c r="L3629" s="560"/>
      <c r="M3629" s="560"/>
    </row>
    <row r="3630" spans="3:13" s="338" customFormat="1">
      <c r="C3630" s="558"/>
      <c r="D3630" s="559"/>
      <c r="E3630" s="559"/>
      <c r="F3630" s="559"/>
      <c r="G3630" s="558"/>
      <c r="H3630" s="559"/>
      <c r="I3630" s="559"/>
      <c r="J3630" s="559"/>
      <c r="K3630" s="560"/>
      <c r="L3630" s="560"/>
      <c r="M3630" s="560"/>
    </row>
    <row r="3631" spans="3:13" s="338" customFormat="1">
      <c r="C3631" s="558"/>
      <c r="D3631" s="559"/>
      <c r="E3631" s="559"/>
      <c r="F3631" s="559"/>
      <c r="G3631" s="558"/>
      <c r="H3631" s="559"/>
      <c r="I3631" s="559"/>
      <c r="J3631" s="559"/>
      <c r="K3631" s="560"/>
      <c r="L3631" s="560"/>
      <c r="M3631" s="560"/>
    </row>
    <row r="3632" spans="3:13" s="338" customFormat="1">
      <c r="C3632" s="558"/>
      <c r="D3632" s="559"/>
      <c r="E3632" s="559"/>
      <c r="F3632" s="559"/>
      <c r="G3632" s="558"/>
      <c r="H3632" s="559"/>
      <c r="I3632" s="559"/>
      <c r="J3632" s="559"/>
      <c r="K3632" s="560"/>
      <c r="L3632" s="560"/>
      <c r="M3632" s="560"/>
    </row>
    <row r="3633" spans="3:13" s="338" customFormat="1">
      <c r="C3633" s="558"/>
      <c r="D3633" s="559"/>
      <c r="E3633" s="559"/>
      <c r="F3633" s="559"/>
      <c r="G3633" s="558"/>
      <c r="H3633" s="559"/>
      <c r="I3633" s="559"/>
      <c r="J3633" s="559"/>
      <c r="K3633" s="560"/>
      <c r="L3633" s="560"/>
      <c r="M3633" s="560"/>
    </row>
    <row r="3634" spans="3:13" s="338" customFormat="1">
      <c r="C3634" s="558"/>
      <c r="D3634" s="559"/>
      <c r="E3634" s="559"/>
      <c r="F3634" s="559"/>
      <c r="G3634" s="558"/>
      <c r="H3634" s="559"/>
      <c r="I3634" s="559"/>
      <c r="J3634" s="559"/>
      <c r="K3634" s="560"/>
      <c r="L3634" s="560"/>
      <c r="M3634" s="560"/>
    </row>
    <row r="3635" spans="3:13" s="338" customFormat="1">
      <c r="C3635" s="558"/>
      <c r="D3635" s="559"/>
      <c r="E3635" s="559"/>
      <c r="F3635" s="559"/>
      <c r="G3635" s="558"/>
      <c r="H3635" s="559"/>
      <c r="I3635" s="559"/>
      <c r="J3635" s="559"/>
      <c r="K3635" s="560"/>
      <c r="L3635" s="560"/>
      <c r="M3635" s="560"/>
    </row>
    <row r="3636" spans="3:13" s="338" customFormat="1">
      <c r="C3636" s="558"/>
      <c r="D3636" s="559"/>
      <c r="E3636" s="559"/>
      <c r="F3636" s="559"/>
      <c r="G3636" s="558"/>
      <c r="H3636" s="559"/>
      <c r="I3636" s="559"/>
      <c r="J3636" s="559"/>
      <c r="K3636" s="560"/>
      <c r="L3636" s="560"/>
      <c r="M3636" s="560"/>
    </row>
    <row r="3637" spans="3:13" s="338" customFormat="1">
      <c r="C3637" s="558"/>
      <c r="D3637" s="559"/>
      <c r="E3637" s="559"/>
      <c r="F3637" s="559"/>
      <c r="G3637" s="558"/>
      <c r="H3637" s="559"/>
      <c r="I3637" s="559"/>
      <c r="J3637" s="559"/>
      <c r="K3637" s="560"/>
      <c r="L3637" s="560"/>
      <c r="M3637" s="560"/>
    </row>
    <row r="3638" spans="3:13" s="338" customFormat="1">
      <c r="C3638" s="558"/>
      <c r="D3638" s="559"/>
      <c r="E3638" s="559"/>
      <c r="F3638" s="559"/>
      <c r="G3638" s="558"/>
      <c r="H3638" s="559"/>
      <c r="I3638" s="559"/>
      <c r="J3638" s="559"/>
      <c r="K3638" s="560"/>
      <c r="L3638" s="560"/>
      <c r="M3638" s="560"/>
    </row>
    <row r="3639" spans="3:13" s="338" customFormat="1">
      <c r="C3639" s="558"/>
      <c r="D3639" s="559"/>
      <c r="E3639" s="559"/>
      <c r="F3639" s="559"/>
      <c r="G3639" s="558"/>
      <c r="H3639" s="559"/>
      <c r="I3639" s="559"/>
      <c r="J3639" s="559"/>
      <c r="K3639" s="560"/>
      <c r="L3639" s="560"/>
      <c r="M3639" s="560"/>
    </row>
    <row r="3640" spans="3:13" s="338" customFormat="1">
      <c r="C3640" s="558"/>
      <c r="D3640" s="559"/>
      <c r="E3640" s="559"/>
      <c r="F3640" s="559"/>
      <c r="G3640" s="558"/>
      <c r="H3640" s="559"/>
      <c r="I3640" s="559"/>
      <c r="J3640" s="559"/>
      <c r="K3640" s="560"/>
      <c r="L3640" s="560"/>
      <c r="M3640" s="560"/>
    </row>
    <row r="3641" spans="3:13" s="338" customFormat="1">
      <c r="C3641" s="558"/>
      <c r="D3641" s="559"/>
      <c r="E3641" s="559"/>
      <c r="F3641" s="559"/>
      <c r="G3641" s="558"/>
      <c r="H3641" s="559"/>
      <c r="I3641" s="559"/>
      <c r="J3641" s="559"/>
      <c r="K3641" s="560"/>
      <c r="L3641" s="560"/>
      <c r="M3641" s="560"/>
    </row>
    <row r="3642" spans="3:13" s="338" customFormat="1">
      <c r="C3642" s="558"/>
      <c r="D3642" s="559"/>
      <c r="E3642" s="559"/>
      <c r="F3642" s="559"/>
      <c r="G3642" s="558"/>
      <c r="H3642" s="559"/>
      <c r="I3642" s="559"/>
      <c r="J3642" s="559"/>
      <c r="K3642" s="560"/>
      <c r="L3642" s="560"/>
      <c r="M3642" s="560"/>
    </row>
    <row r="3643" spans="3:13" s="338" customFormat="1">
      <c r="C3643" s="558"/>
      <c r="D3643" s="559"/>
      <c r="E3643" s="559"/>
      <c r="F3643" s="559"/>
      <c r="G3643" s="558"/>
      <c r="H3643" s="559"/>
      <c r="I3643" s="559"/>
      <c r="J3643" s="559"/>
      <c r="K3643" s="560"/>
      <c r="L3643" s="560"/>
      <c r="M3643" s="560"/>
    </row>
    <row r="3644" spans="3:13" s="338" customFormat="1">
      <c r="C3644" s="558"/>
      <c r="D3644" s="559"/>
      <c r="E3644" s="559"/>
      <c r="F3644" s="559"/>
      <c r="G3644" s="558"/>
      <c r="H3644" s="559"/>
      <c r="I3644" s="559"/>
      <c r="J3644" s="559"/>
      <c r="K3644" s="560"/>
      <c r="L3644" s="560"/>
      <c r="M3644" s="560"/>
    </row>
    <row r="3645" spans="3:13" s="338" customFormat="1">
      <c r="C3645" s="558"/>
      <c r="D3645" s="559"/>
      <c r="E3645" s="559"/>
      <c r="F3645" s="559"/>
      <c r="G3645" s="558"/>
      <c r="H3645" s="559"/>
      <c r="I3645" s="559"/>
      <c r="J3645" s="559"/>
      <c r="K3645" s="560"/>
      <c r="L3645" s="560"/>
      <c r="M3645" s="560"/>
    </row>
    <row r="3646" spans="3:13" s="338" customFormat="1">
      <c r="C3646" s="558"/>
      <c r="D3646" s="559"/>
      <c r="E3646" s="559"/>
      <c r="F3646" s="559"/>
      <c r="G3646" s="558"/>
      <c r="H3646" s="559"/>
      <c r="I3646" s="559"/>
      <c r="J3646" s="559"/>
      <c r="K3646" s="560"/>
      <c r="L3646" s="560"/>
      <c r="M3646" s="560"/>
    </row>
    <row r="3647" spans="3:13" s="338" customFormat="1">
      <c r="C3647" s="558"/>
      <c r="D3647" s="559"/>
      <c r="E3647" s="559"/>
      <c r="F3647" s="559"/>
      <c r="G3647" s="558"/>
      <c r="H3647" s="559"/>
      <c r="I3647" s="559"/>
      <c r="J3647" s="559"/>
      <c r="K3647" s="560"/>
      <c r="L3647" s="560"/>
      <c r="M3647" s="560"/>
    </row>
    <row r="3648" spans="3:13" s="338" customFormat="1">
      <c r="C3648" s="558"/>
      <c r="D3648" s="559"/>
      <c r="E3648" s="559"/>
      <c r="F3648" s="559"/>
      <c r="G3648" s="558"/>
      <c r="H3648" s="559"/>
      <c r="I3648" s="559"/>
      <c r="J3648" s="559"/>
      <c r="K3648" s="560"/>
      <c r="L3648" s="560"/>
      <c r="M3648" s="560"/>
    </row>
    <row r="3649" spans="3:13" s="338" customFormat="1">
      <c r="C3649" s="558"/>
      <c r="D3649" s="559"/>
      <c r="E3649" s="559"/>
      <c r="F3649" s="559"/>
      <c r="G3649" s="558"/>
      <c r="H3649" s="559"/>
      <c r="I3649" s="559"/>
      <c r="J3649" s="559"/>
      <c r="K3649" s="560"/>
      <c r="L3649" s="560"/>
      <c r="M3649" s="560"/>
    </row>
    <row r="3650" spans="3:13" s="338" customFormat="1">
      <c r="C3650" s="558"/>
      <c r="D3650" s="559"/>
      <c r="E3650" s="559"/>
      <c r="F3650" s="559"/>
      <c r="G3650" s="558"/>
      <c r="H3650" s="559"/>
      <c r="I3650" s="559"/>
      <c r="J3650" s="559"/>
      <c r="K3650" s="560"/>
      <c r="L3650" s="560"/>
      <c r="M3650" s="560"/>
    </row>
    <row r="3651" spans="3:13" s="338" customFormat="1">
      <c r="C3651" s="558"/>
      <c r="D3651" s="559"/>
      <c r="E3651" s="559"/>
      <c r="F3651" s="559"/>
      <c r="G3651" s="558"/>
      <c r="H3651" s="559"/>
      <c r="I3651" s="559"/>
      <c r="J3651" s="559"/>
      <c r="K3651" s="560"/>
      <c r="L3651" s="560"/>
      <c r="M3651" s="560"/>
    </row>
    <row r="3652" spans="3:13" s="338" customFormat="1">
      <c r="C3652" s="558"/>
      <c r="D3652" s="559"/>
      <c r="E3652" s="559"/>
      <c r="F3652" s="559"/>
      <c r="G3652" s="558"/>
      <c r="H3652" s="559"/>
      <c r="I3652" s="559"/>
      <c r="J3652" s="559"/>
      <c r="K3652" s="560"/>
      <c r="L3652" s="560"/>
      <c r="M3652" s="560"/>
    </row>
    <row r="3653" spans="3:13" s="338" customFormat="1">
      <c r="C3653" s="558"/>
      <c r="D3653" s="559"/>
      <c r="E3653" s="559"/>
      <c r="F3653" s="559"/>
      <c r="G3653" s="558"/>
      <c r="H3653" s="559"/>
      <c r="I3653" s="559"/>
      <c r="J3653" s="559"/>
      <c r="K3653" s="560"/>
      <c r="L3653" s="560"/>
      <c r="M3653" s="560"/>
    </row>
    <row r="3654" spans="3:13" s="338" customFormat="1">
      <c r="C3654" s="558"/>
      <c r="D3654" s="559"/>
      <c r="E3654" s="559"/>
      <c r="F3654" s="559"/>
      <c r="G3654" s="558"/>
      <c r="H3654" s="559"/>
      <c r="I3654" s="559"/>
      <c r="J3654" s="559"/>
      <c r="K3654" s="560"/>
      <c r="L3654" s="560"/>
      <c r="M3654" s="560"/>
    </row>
    <row r="3655" spans="3:13" s="338" customFormat="1">
      <c r="C3655" s="558"/>
      <c r="D3655" s="559"/>
      <c r="E3655" s="559"/>
      <c r="F3655" s="559"/>
      <c r="G3655" s="558"/>
      <c r="H3655" s="559"/>
      <c r="I3655" s="559"/>
      <c r="J3655" s="559"/>
      <c r="K3655" s="560"/>
      <c r="L3655" s="560"/>
      <c r="M3655" s="560"/>
    </row>
    <row r="3656" spans="3:13" s="338" customFormat="1">
      <c r="C3656" s="558"/>
      <c r="D3656" s="559"/>
      <c r="E3656" s="559"/>
      <c r="F3656" s="559"/>
      <c r="G3656" s="558"/>
      <c r="H3656" s="559"/>
      <c r="I3656" s="559"/>
      <c r="J3656" s="559"/>
      <c r="K3656" s="560"/>
      <c r="L3656" s="560"/>
      <c r="M3656" s="560"/>
    </row>
    <row r="3657" spans="3:13" s="338" customFormat="1">
      <c r="C3657" s="558"/>
      <c r="D3657" s="559"/>
      <c r="E3657" s="559"/>
      <c r="F3657" s="559"/>
      <c r="G3657" s="558"/>
      <c r="H3657" s="559"/>
      <c r="I3657" s="559"/>
      <c r="J3657" s="559"/>
      <c r="K3657" s="560"/>
      <c r="L3657" s="560"/>
      <c r="M3657" s="560"/>
    </row>
    <row r="3658" spans="3:13" s="338" customFormat="1">
      <c r="C3658" s="558"/>
      <c r="D3658" s="559"/>
      <c r="E3658" s="559"/>
      <c r="F3658" s="559"/>
      <c r="G3658" s="558"/>
      <c r="H3658" s="559"/>
      <c r="I3658" s="559"/>
      <c r="J3658" s="559"/>
      <c r="K3658" s="560"/>
      <c r="L3658" s="560"/>
      <c r="M3658" s="560"/>
    </row>
    <row r="3659" spans="3:13" s="338" customFormat="1">
      <c r="C3659" s="558"/>
      <c r="D3659" s="559"/>
      <c r="E3659" s="559"/>
      <c r="F3659" s="559"/>
      <c r="G3659" s="558"/>
      <c r="H3659" s="559"/>
      <c r="I3659" s="559"/>
      <c r="J3659" s="559"/>
      <c r="K3659" s="560"/>
      <c r="L3659" s="560"/>
      <c r="M3659" s="560"/>
    </row>
    <row r="3660" spans="3:13" s="338" customFormat="1">
      <c r="C3660" s="558"/>
      <c r="D3660" s="559"/>
      <c r="E3660" s="559"/>
      <c r="F3660" s="559"/>
      <c r="G3660" s="558"/>
      <c r="H3660" s="559"/>
      <c r="I3660" s="559"/>
      <c r="J3660" s="559"/>
      <c r="K3660" s="560"/>
      <c r="L3660" s="560"/>
      <c r="M3660" s="560"/>
    </row>
    <row r="3661" spans="3:13" s="338" customFormat="1">
      <c r="C3661" s="558"/>
      <c r="D3661" s="559"/>
      <c r="E3661" s="559"/>
      <c r="F3661" s="559"/>
      <c r="G3661" s="558"/>
      <c r="H3661" s="559"/>
      <c r="I3661" s="559"/>
      <c r="J3661" s="559"/>
      <c r="K3661" s="560"/>
      <c r="L3661" s="560"/>
      <c r="M3661" s="560"/>
    </row>
    <row r="3662" spans="3:13" s="338" customFormat="1">
      <c r="C3662" s="558"/>
      <c r="D3662" s="559"/>
      <c r="E3662" s="559"/>
      <c r="F3662" s="559"/>
      <c r="G3662" s="558"/>
      <c r="H3662" s="559"/>
      <c r="I3662" s="559"/>
      <c r="J3662" s="559"/>
      <c r="K3662" s="560"/>
      <c r="L3662" s="560"/>
      <c r="M3662" s="560"/>
    </row>
    <row r="3663" spans="3:13" s="338" customFormat="1">
      <c r="C3663" s="558"/>
      <c r="D3663" s="559"/>
      <c r="E3663" s="559"/>
      <c r="F3663" s="559"/>
      <c r="G3663" s="558"/>
      <c r="H3663" s="559"/>
      <c r="I3663" s="559"/>
      <c r="J3663" s="559"/>
      <c r="K3663" s="560"/>
      <c r="L3663" s="560"/>
      <c r="M3663" s="560"/>
    </row>
    <row r="3664" spans="3:13" s="338" customFormat="1">
      <c r="C3664" s="558"/>
      <c r="D3664" s="559"/>
      <c r="E3664" s="559"/>
      <c r="F3664" s="559"/>
      <c r="G3664" s="558"/>
      <c r="H3664" s="559"/>
      <c r="I3664" s="559"/>
      <c r="J3664" s="559"/>
      <c r="K3664" s="560"/>
      <c r="L3664" s="560"/>
      <c r="M3664" s="560"/>
    </row>
    <row r="3665" spans="3:13" s="338" customFormat="1">
      <c r="C3665" s="558"/>
      <c r="D3665" s="559"/>
      <c r="E3665" s="559"/>
      <c r="F3665" s="559"/>
      <c r="G3665" s="558"/>
      <c r="H3665" s="559"/>
      <c r="I3665" s="559"/>
      <c r="J3665" s="559"/>
      <c r="K3665" s="560"/>
      <c r="L3665" s="560"/>
      <c r="M3665" s="560"/>
    </row>
    <row r="3666" spans="3:13" s="338" customFormat="1">
      <c r="C3666" s="558"/>
      <c r="D3666" s="559"/>
      <c r="E3666" s="559"/>
      <c r="F3666" s="559"/>
      <c r="G3666" s="558"/>
      <c r="H3666" s="559"/>
      <c r="I3666" s="559"/>
      <c r="J3666" s="559"/>
      <c r="K3666" s="560"/>
      <c r="L3666" s="560"/>
      <c r="M3666" s="560"/>
    </row>
    <row r="3667" spans="3:13" s="338" customFormat="1">
      <c r="C3667" s="558"/>
      <c r="D3667" s="559"/>
      <c r="E3667" s="559"/>
      <c r="F3667" s="559"/>
      <c r="G3667" s="558"/>
      <c r="H3667" s="559"/>
      <c r="I3667" s="559"/>
      <c r="J3667" s="559"/>
      <c r="K3667" s="560"/>
      <c r="L3667" s="560"/>
      <c r="M3667" s="560"/>
    </row>
    <row r="3668" spans="3:13" s="338" customFormat="1">
      <c r="C3668" s="558"/>
      <c r="D3668" s="559"/>
      <c r="E3668" s="559"/>
      <c r="F3668" s="559"/>
      <c r="G3668" s="558"/>
      <c r="H3668" s="559"/>
      <c r="I3668" s="559"/>
      <c r="J3668" s="559"/>
      <c r="K3668" s="560"/>
      <c r="L3668" s="560"/>
      <c r="M3668" s="560"/>
    </row>
    <row r="3669" spans="3:13" s="338" customFormat="1">
      <c r="C3669" s="558"/>
      <c r="D3669" s="559"/>
      <c r="E3669" s="559"/>
      <c r="F3669" s="559"/>
      <c r="G3669" s="558"/>
      <c r="H3669" s="559"/>
      <c r="I3669" s="559"/>
      <c r="J3669" s="559"/>
      <c r="K3669" s="560"/>
      <c r="L3669" s="560"/>
      <c r="M3669" s="560"/>
    </row>
    <row r="3670" spans="3:13" s="338" customFormat="1">
      <c r="C3670" s="558"/>
      <c r="D3670" s="559"/>
      <c r="E3670" s="559"/>
      <c r="F3670" s="559"/>
      <c r="G3670" s="558"/>
      <c r="H3670" s="559"/>
      <c r="I3670" s="559"/>
      <c r="J3670" s="559"/>
      <c r="K3670" s="560"/>
      <c r="L3670" s="560"/>
      <c r="M3670" s="560"/>
    </row>
    <row r="3671" spans="3:13" s="338" customFormat="1">
      <c r="C3671" s="558"/>
      <c r="D3671" s="559"/>
      <c r="E3671" s="559"/>
      <c r="F3671" s="559"/>
      <c r="G3671" s="558"/>
      <c r="H3671" s="559"/>
      <c r="I3671" s="559"/>
      <c r="J3671" s="559"/>
      <c r="K3671" s="560"/>
      <c r="L3671" s="560"/>
      <c r="M3671" s="560"/>
    </row>
    <row r="3672" spans="3:13" s="338" customFormat="1">
      <c r="C3672" s="558"/>
      <c r="D3672" s="559"/>
      <c r="E3672" s="559"/>
      <c r="F3672" s="559"/>
      <c r="G3672" s="558"/>
      <c r="H3672" s="559"/>
      <c r="I3672" s="559"/>
      <c r="J3672" s="559"/>
      <c r="K3672" s="560"/>
      <c r="L3672" s="560"/>
      <c r="M3672" s="560"/>
    </row>
    <row r="3673" spans="3:13" s="338" customFormat="1">
      <c r="C3673" s="558"/>
      <c r="D3673" s="559"/>
      <c r="E3673" s="559"/>
      <c r="F3673" s="559"/>
      <c r="G3673" s="558"/>
      <c r="H3673" s="559"/>
      <c r="I3673" s="559"/>
      <c r="J3673" s="559"/>
      <c r="K3673" s="560"/>
      <c r="L3673" s="560"/>
      <c r="M3673" s="560"/>
    </row>
    <row r="3674" spans="3:13" s="338" customFormat="1">
      <c r="C3674" s="558"/>
      <c r="D3674" s="559"/>
      <c r="E3674" s="559"/>
      <c r="F3674" s="559"/>
      <c r="G3674" s="558"/>
      <c r="H3674" s="559"/>
      <c r="I3674" s="559"/>
      <c r="J3674" s="559"/>
      <c r="K3674" s="560"/>
      <c r="L3674" s="560"/>
      <c r="M3674" s="560"/>
    </row>
    <row r="3675" spans="3:13" s="338" customFormat="1">
      <c r="C3675" s="558"/>
      <c r="D3675" s="559"/>
      <c r="E3675" s="559"/>
      <c r="F3675" s="559"/>
      <c r="G3675" s="558"/>
      <c r="H3675" s="559"/>
      <c r="I3675" s="559"/>
      <c r="J3675" s="559"/>
      <c r="K3675" s="560"/>
      <c r="L3675" s="560"/>
      <c r="M3675" s="560"/>
    </row>
    <row r="3676" spans="3:13" s="338" customFormat="1">
      <c r="C3676" s="558"/>
      <c r="D3676" s="559"/>
      <c r="E3676" s="559"/>
      <c r="F3676" s="559"/>
      <c r="G3676" s="558"/>
      <c r="H3676" s="559"/>
      <c r="I3676" s="559"/>
      <c r="J3676" s="559"/>
      <c r="K3676" s="560"/>
      <c r="L3676" s="560"/>
      <c r="M3676" s="560"/>
    </row>
    <row r="3677" spans="3:13" s="338" customFormat="1">
      <c r="C3677" s="558"/>
      <c r="D3677" s="559"/>
      <c r="E3677" s="559"/>
      <c r="F3677" s="559"/>
      <c r="G3677" s="558"/>
      <c r="H3677" s="559"/>
      <c r="I3677" s="559"/>
      <c r="J3677" s="559"/>
      <c r="K3677" s="560"/>
      <c r="L3677" s="560"/>
      <c r="M3677" s="560"/>
    </row>
    <row r="3678" spans="3:13" s="338" customFormat="1">
      <c r="C3678" s="558"/>
      <c r="D3678" s="559"/>
      <c r="E3678" s="559"/>
      <c r="F3678" s="559"/>
      <c r="G3678" s="558"/>
      <c r="H3678" s="559"/>
      <c r="I3678" s="559"/>
      <c r="J3678" s="559"/>
      <c r="K3678" s="560"/>
      <c r="L3678" s="560"/>
      <c r="M3678" s="560"/>
    </row>
    <row r="3679" spans="3:13" s="338" customFormat="1">
      <c r="C3679" s="558"/>
      <c r="D3679" s="559"/>
      <c r="E3679" s="559"/>
      <c r="F3679" s="559"/>
      <c r="G3679" s="558"/>
      <c r="H3679" s="559"/>
      <c r="I3679" s="559"/>
      <c r="J3679" s="559"/>
      <c r="K3679" s="560"/>
      <c r="L3679" s="560"/>
      <c r="M3679" s="560"/>
    </row>
    <row r="3680" spans="3:13" s="338" customFormat="1">
      <c r="C3680" s="558"/>
      <c r="D3680" s="559"/>
      <c r="E3680" s="559"/>
      <c r="F3680" s="559"/>
      <c r="G3680" s="558"/>
      <c r="H3680" s="559"/>
      <c r="I3680" s="559"/>
      <c r="J3680" s="559"/>
      <c r="K3680" s="560"/>
      <c r="L3680" s="560"/>
      <c r="M3680" s="560"/>
    </row>
    <row r="3681" spans="3:13" s="338" customFormat="1">
      <c r="C3681" s="558"/>
      <c r="D3681" s="559"/>
      <c r="E3681" s="559"/>
      <c r="F3681" s="559"/>
      <c r="G3681" s="558"/>
      <c r="H3681" s="559"/>
      <c r="I3681" s="559"/>
      <c r="J3681" s="559"/>
      <c r="K3681" s="560"/>
      <c r="L3681" s="560"/>
      <c r="M3681" s="560"/>
    </row>
    <row r="3682" spans="3:13" s="338" customFormat="1">
      <c r="C3682" s="558"/>
      <c r="D3682" s="559"/>
      <c r="E3682" s="559"/>
      <c r="F3682" s="559"/>
      <c r="G3682" s="558"/>
      <c r="H3682" s="559"/>
      <c r="I3682" s="559"/>
      <c r="J3682" s="559"/>
      <c r="K3682" s="560"/>
      <c r="L3682" s="560"/>
      <c r="M3682" s="560"/>
    </row>
    <row r="3683" spans="3:13" s="338" customFormat="1">
      <c r="C3683" s="558"/>
      <c r="D3683" s="559"/>
      <c r="E3683" s="559"/>
      <c r="F3683" s="559"/>
      <c r="G3683" s="558"/>
      <c r="H3683" s="559"/>
      <c r="I3683" s="559"/>
      <c r="J3683" s="559"/>
      <c r="K3683" s="560"/>
      <c r="L3683" s="560"/>
      <c r="M3683" s="560"/>
    </row>
    <row r="3684" spans="3:13" s="338" customFormat="1">
      <c r="C3684" s="558"/>
      <c r="D3684" s="559"/>
      <c r="E3684" s="559"/>
      <c r="F3684" s="559"/>
      <c r="G3684" s="558"/>
      <c r="H3684" s="559"/>
      <c r="I3684" s="559"/>
      <c r="J3684" s="559"/>
      <c r="K3684" s="560"/>
      <c r="L3684" s="560"/>
      <c r="M3684" s="560"/>
    </row>
    <row r="3685" spans="3:13" s="338" customFormat="1">
      <c r="C3685" s="558"/>
      <c r="D3685" s="559"/>
      <c r="E3685" s="559"/>
      <c r="F3685" s="559"/>
      <c r="G3685" s="558"/>
      <c r="H3685" s="559"/>
      <c r="I3685" s="559"/>
      <c r="J3685" s="559"/>
      <c r="K3685" s="560"/>
      <c r="L3685" s="560"/>
      <c r="M3685" s="560"/>
    </row>
    <row r="3686" spans="3:13" s="338" customFormat="1">
      <c r="C3686" s="558"/>
      <c r="D3686" s="559"/>
      <c r="E3686" s="559"/>
      <c r="F3686" s="559"/>
      <c r="G3686" s="558"/>
      <c r="H3686" s="559"/>
      <c r="I3686" s="559"/>
      <c r="J3686" s="559"/>
      <c r="K3686" s="560"/>
      <c r="L3686" s="560"/>
      <c r="M3686" s="560"/>
    </row>
    <row r="3687" spans="3:13" s="338" customFormat="1">
      <c r="C3687" s="558"/>
      <c r="D3687" s="559"/>
      <c r="E3687" s="559"/>
      <c r="F3687" s="559"/>
      <c r="G3687" s="558"/>
      <c r="H3687" s="559"/>
      <c r="I3687" s="559"/>
      <c r="J3687" s="559"/>
      <c r="K3687" s="560"/>
      <c r="L3687" s="560"/>
      <c r="M3687" s="560"/>
    </row>
    <row r="3688" spans="3:13" s="338" customFormat="1">
      <c r="C3688" s="558"/>
      <c r="D3688" s="559"/>
      <c r="E3688" s="559"/>
      <c r="F3688" s="559"/>
      <c r="G3688" s="558"/>
      <c r="H3688" s="559"/>
      <c r="I3688" s="559"/>
      <c r="J3688" s="559"/>
      <c r="K3688" s="560"/>
      <c r="L3688" s="560"/>
      <c r="M3688" s="560"/>
    </row>
    <row r="3689" spans="3:13" s="338" customFormat="1">
      <c r="C3689" s="558"/>
      <c r="D3689" s="559"/>
      <c r="E3689" s="559"/>
      <c r="F3689" s="559"/>
      <c r="G3689" s="558"/>
      <c r="H3689" s="559"/>
      <c r="I3689" s="559"/>
      <c r="J3689" s="559"/>
      <c r="K3689" s="560"/>
      <c r="L3689" s="560"/>
      <c r="M3689" s="560"/>
    </row>
    <row r="3690" spans="3:13" s="338" customFormat="1">
      <c r="C3690" s="558"/>
      <c r="D3690" s="559"/>
      <c r="E3690" s="559"/>
      <c r="F3690" s="559"/>
      <c r="G3690" s="558"/>
      <c r="H3690" s="559"/>
      <c r="I3690" s="559"/>
      <c r="J3690" s="559"/>
      <c r="K3690" s="560"/>
      <c r="L3690" s="560"/>
      <c r="M3690" s="560"/>
    </row>
    <row r="3691" spans="3:13" s="338" customFormat="1">
      <c r="C3691" s="558"/>
      <c r="D3691" s="559"/>
      <c r="E3691" s="559"/>
      <c r="F3691" s="559"/>
      <c r="G3691" s="558"/>
      <c r="H3691" s="559"/>
      <c r="I3691" s="559"/>
      <c r="J3691" s="559"/>
      <c r="K3691" s="560"/>
      <c r="L3691" s="560"/>
      <c r="M3691" s="560"/>
    </row>
    <row r="3692" spans="3:13" s="338" customFormat="1">
      <c r="C3692" s="558"/>
      <c r="D3692" s="559"/>
      <c r="E3692" s="559"/>
      <c r="F3692" s="559"/>
      <c r="G3692" s="558"/>
      <c r="H3692" s="559"/>
      <c r="I3692" s="559"/>
      <c r="J3692" s="559"/>
      <c r="K3692" s="560"/>
      <c r="L3692" s="560"/>
      <c r="M3692" s="560"/>
    </row>
    <row r="3693" spans="3:13" s="338" customFormat="1">
      <c r="C3693" s="558"/>
      <c r="D3693" s="559"/>
      <c r="E3693" s="559"/>
      <c r="F3693" s="559"/>
      <c r="G3693" s="558"/>
      <c r="H3693" s="559"/>
      <c r="I3693" s="559"/>
      <c r="J3693" s="559"/>
      <c r="K3693" s="560"/>
      <c r="L3693" s="560"/>
      <c r="M3693" s="560"/>
    </row>
    <row r="3694" spans="3:13" s="338" customFormat="1">
      <c r="C3694" s="558"/>
      <c r="D3694" s="559"/>
      <c r="E3694" s="559"/>
      <c r="F3694" s="559"/>
      <c r="G3694" s="558"/>
      <c r="H3694" s="559"/>
      <c r="I3694" s="559"/>
      <c r="J3694" s="559"/>
      <c r="K3694" s="560"/>
      <c r="L3694" s="560"/>
      <c r="M3694" s="560"/>
    </row>
    <row r="3695" spans="3:13" s="338" customFormat="1">
      <c r="C3695" s="558"/>
      <c r="D3695" s="559"/>
      <c r="E3695" s="559"/>
      <c r="F3695" s="559"/>
      <c r="G3695" s="558"/>
      <c r="H3695" s="559"/>
      <c r="I3695" s="559"/>
      <c r="J3695" s="559"/>
      <c r="K3695" s="560"/>
      <c r="L3695" s="560"/>
      <c r="M3695" s="560"/>
    </row>
    <row r="3696" spans="3:13" s="338" customFormat="1">
      <c r="C3696" s="558"/>
      <c r="D3696" s="559"/>
      <c r="E3696" s="559"/>
      <c r="F3696" s="559"/>
      <c r="G3696" s="558"/>
      <c r="H3696" s="559"/>
      <c r="I3696" s="559"/>
      <c r="J3696" s="559"/>
      <c r="K3696" s="560"/>
      <c r="L3696" s="560"/>
      <c r="M3696" s="560"/>
    </row>
    <row r="3697" spans="3:13" s="338" customFormat="1">
      <c r="C3697" s="558"/>
      <c r="D3697" s="559"/>
      <c r="E3697" s="559"/>
      <c r="F3697" s="559"/>
      <c r="G3697" s="558"/>
      <c r="H3697" s="559"/>
      <c r="I3697" s="559"/>
      <c r="J3697" s="559"/>
      <c r="K3697" s="560"/>
      <c r="L3697" s="560"/>
      <c r="M3697" s="560"/>
    </row>
    <row r="3698" spans="3:13" s="338" customFormat="1">
      <c r="C3698" s="558"/>
      <c r="D3698" s="559"/>
      <c r="E3698" s="559"/>
      <c r="F3698" s="559"/>
      <c r="G3698" s="558"/>
      <c r="H3698" s="559"/>
      <c r="I3698" s="559"/>
      <c r="J3698" s="559"/>
      <c r="K3698" s="560"/>
      <c r="L3698" s="560"/>
      <c r="M3698" s="560"/>
    </row>
    <row r="3699" spans="3:13" s="338" customFormat="1">
      <c r="C3699" s="558"/>
      <c r="D3699" s="559"/>
      <c r="E3699" s="559"/>
      <c r="F3699" s="559"/>
      <c r="G3699" s="558"/>
      <c r="H3699" s="559"/>
      <c r="I3699" s="559"/>
      <c r="J3699" s="559"/>
      <c r="K3699" s="560"/>
      <c r="L3699" s="560"/>
      <c r="M3699" s="560"/>
    </row>
    <row r="3700" spans="3:13" s="338" customFormat="1">
      <c r="C3700" s="558"/>
      <c r="D3700" s="559"/>
      <c r="E3700" s="559"/>
      <c r="F3700" s="559"/>
      <c r="G3700" s="558"/>
      <c r="H3700" s="559"/>
      <c r="I3700" s="559"/>
      <c r="J3700" s="559"/>
      <c r="K3700" s="560"/>
      <c r="L3700" s="560"/>
      <c r="M3700" s="560"/>
    </row>
    <row r="3701" spans="3:13" s="338" customFormat="1">
      <c r="C3701" s="558"/>
      <c r="D3701" s="559"/>
      <c r="E3701" s="559"/>
      <c r="F3701" s="559"/>
      <c r="G3701" s="558"/>
      <c r="H3701" s="559"/>
      <c r="I3701" s="559"/>
      <c r="J3701" s="559"/>
      <c r="K3701" s="560"/>
      <c r="L3701" s="560"/>
      <c r="M3701" s="560"/>
    </row>
    <row r="3702" spans="3:13" s="338" customFormat="1">
      <c r="C3702" s="558"/>
      <c r="D3702" s="559"/>
      <c r="E3702" s="559"/>
      <c r="F3702" s="559"/>
      <c r="G3702" s="558"/>
      <c r="H3702" s="559"/>
      <c r="I3702" s="559"/>
      <c r="J3702" s="559"/>
      <c r="K3702" s="560"/>
      <c r="L3702" s="560"/>
      <c r="M3702" s="560"/>
    </row>
    <row r="3703" spans="3:13" s="338" customFormat="1">
      <c r="C3703" s="558"/>
      <c r="D3703" s="559"/>
      <c r="E3703" s="559"/>
      <c r="F3703" s="559"/>
      <c r="G3703" s="558"/>
      <c r="H3703" s="559"/>
      <c r="I3703" s="559"/>
      <c r="J3703" s="559"/>
      <c r="K3703" s="560"/>
      <c r="L3703" s="560"/>
      <c r="M3703" s="560"/>
    </row>
    <row r="3704" spans="3:13" s="338" customFormat="1">
      <c r="C3704" s="558"/>
      <c r="D3704" s="559"/>
      <c r="E3704" s="559"/>
      <c r="F3704" s="559"/>
      <c r="G3704" s="558"/>
      <c r="H3704" s="559"/>
      <c r="I3704" s="559"/>
      <c r="J3704" s="559"/>
      <c r="K3704" s="560"/>
      <c r="L3704" s="560"/>
      <c r="M3704" s="560"/>
    </row>
    <row r="3705" spans="3:13" s="338" customFormat="1">
      <c r="C3705" s="558"/>
      <c r="D3705" s="559"/>
      <c r="E3705" s="559"/>
      <c r="F3705" s="559"/>
      <c r="G3705" s="558"/>
      <c r="H3705" s="559"/>
      <c r="I3705" s="559"/>
      <c r="J3705" s="559"/>
      <c r="K3705" s="560"/>
      <c r="L3705" s="560"/>
      <c r="M3705" s="560"/>
    </row>
    <row r="3706" spans="3:13" s="338" customFormat="1">
      <c r="C3706" s="558"/>
      <c r="D3706" s="559"/>
      <c r="E3706" s="559"/>
      <c r="F3706" s="559"/>
      <c r="G3706" s="558"/>
      <c r="H3706" s="559"/>
      <c r="I3706" s="559"/>
      <c r="J3706" s="559"/>
      <c r="K3706" s="560"/>
      <c r="L3706" s="560"/>
      <c r="M3706" s="560"/>
    </row>
    <row r="3707" spans="3:13" s="338" customFormat="1">
      <c r="C3707" s="558"/>
      <c r="D3707" s="559"/>
      <c r="E3707" s="559"/>
      <c r="F3707" s="559"/>
      <c r="G3707" s="558"/>
      <c r="H3707" s="559"/>
      <c r="I3707" s="559"/>
      <c r="J3707" s="559"/>
      <c r="K3707" s="560"/>
      <c r="L3707" s="560"/>
      <c r="M3707" s="560"/>
    </row>
    <row r="3708" spans="3:13" s="338" customFormat="1">
      <c r="C3708" s="558"/>
      <c r="D3708" s="559"/>
      <c r="E3708" s="559"/>
      <c r="F3708" s="559"/>
      <c r="G3708" s="558"/>
      <c r="H3708" s="559"/>
      <c r="I3708" s="559"/>
      <c r="J3708" s="559"/>
      <c r="K3708" s="560"/>
      <c r="L3708" s="560"/>
      <c r="M3708" s="560"/>
    </row>
    <row r="3709" spans="3:13" s="338" customFormat="1">
      <c r="C3709" s="558"/>
      <c r="D3709" s="559"/>
      <c r="E3709" s="559"/>
      <c r="F3709" s="559"/>
      <c r="G3709" s="558"/>
      <c r="H3709" s="559"/>
      <c r="I3709" s="559"/>
      <c r="J3709" s="559"/>
      <c r="K3709" s="560"/>
      <c r="L3709" s="560"/>
      <c r="M3709" s="560"/>
    </row>
    <row r="3710" spans="3:13" s="338" customFormat="1">
      <c r="C3710" s="558"/>
      <c r="D3710" s="559"/>
      <c r="E3710" s="559"/>
      <c r="F3710" s="559"/>
      <c r="G3710" s="558"/>
      <c r="H3710" s="559"/>
      <c r="I3710" s="559"/>
      <c r="J3710" s="559"/>
      <c r="K3710" s="560"/>
      <c r="L3710" s="560"/>
      <c r="M3710" s="560"/>
    </row>
    <row r="3711" spans="3:13" s="338" customFormat="1">
      <c r="C3711" s="558"/>
      <c r="D3711" s="559"/>
      <c r="E3711" s="559"/>
      <c r="F3711" s="559"/>
      <c r="G3711" s="558"/>
      <c r="H3711" s="559"/>
      <c r="I3711" s="559"/>
      <c r="J3711" s="559"/>
      <c r="K3711" s="560"/>
      <c r="L3711" s="560"/>
      <c r="M3711" s="560"/>
    </row>
    <row r="3712" spans="3:13" s="338" customFormat="1">
      <c r="C3712" s="558"/>
      <c r="D3712" s="559"/>
      <c r="E3712" s="559"/>
      <c r="F3712" s="559"/>
      <c r="G3712" s="558"/>
      <c r="H3712" s="559"/>
      <c r="I3712" s="559"/>
      <c r="J3712" s="559"/>
      <c r="K3712" s="560"/>
      <c r="L3712" s="560"/>
      <c r="M3712" s="560"/>
    </row>
    <row r="3713" spans="3:13" s="338" customFormat="1">
      <c r="C3713" s="558"/>
      <c r="D3713" s="559"/>
      <c r="E3713" s="559"/>
      <c r="F3713" s="559"/>
      <c r="G3713" s="558"/>
      <c r="H3713" s="559"/>
      <c r="I3713" s="559"/>
      <c r="J3713" s="559"/>
      <c r="K3713" s="560"/>
      <c r="L3713" s="560"/>
      <c r="M3713" s="560"/>
    </row>
    <row r="3714" spans="3:13" s="338" customFormat="1">
      <c r="C3714" s="558"/>
      <c r="D3714" s="559"/>
      <c r="E3714" s="559"/>
      <c r="F3714" s="559"/>
      <c r="G3714" s="558"/>
      <c r="H3714" s="559"/>
      <c r="I3714" s="559"/>
      <c r="J3714" s="559"/>
      <c r="K3714" s="560"/>
      <c r="L3714" s="560"/>
      <c r="M3714" s="560"/>
    </row>
    <row r="3715" spans="3:13" s="338" customFormat="1">
      <c r="C3715" s="558"/>
      <c r="D3715" s="559"/>
      <c r="E3715" s="559"/>
      <c r="F3715" s="559"/>
      <c r="G3715" s="558"/>
      <c r="H3715" s="559"/>
      <c r="I3715" s="559"/>
      <c r="J3715" s="559"/>
      <c r="K3715" s="560"/>
      <c r="L3715" s="560"/>
      <c r="M3715" s="560"/>
    </row>
    <row r="3716" spans="3:13" s="338" customFormat="1">
      <c r="C3716" s="558"/>
      <c r="D3716" s="559"/>
      <c r="E3716" s="559"/>
      <c r="F3716" s="559"/>
      <c r="G3716" s="558"/>
      <c r="H3716" s="559"/>
      <c r="I3716" s="559"/>
      <c r="J3716" s="559"/>
      <c r="K3716" s="560"/>
      <c r="L3716" s="560"/>
      <c r="M3716" s="560"/>
    </row>
    <row r="3717" spans="3:13" s="338" customFormat="1">
      <c r="C3717" s="558"/>
      <c r="D3717" s="559"/>
      <c r="E3717" s="559"/>
      <c r="F3717" s="559"/>
      <c r="G3717" s="558"/>
      <c r="H3717" s="559"/>
      <c r="I3717" s="559"/>
      <c r="J3717" s="559"/>
      <c r="K3717" s="560"/>
      <c r="L3717" s="560"/>
      <c r="M3717" s="560"/>
    </row>
    <row r="3718" spans="3:13" s="338" customFormat="1">
      <c r="C3718" s="558"/>
      <c r="D3718" s="559"/>
      <c r="E3718" s="559"/>
      <c r="F3718" s="559"/>
      <c r="G3718" s="558"/>
      <c r="H3718" s="559"/>
      <c r="I3718" s="559"/>
      <c r="J3718" s="559"/>
      <c r="K3718" s="560"/>
      <c r="L3718" s="560"/>
      <c r="M3718" s="560"/>
    </row>
    <row r="3719" spans="3:13" s="338" customFormat="1">
      <c r="C3719" s="558"/>
      <c r="D3719" s="559"/>
      <c r="E3719" s="559"/>
      <c r="F3719" s="559"/>
      <c r="G3719" s="558"/>
      <c r="H3719" s="559"/>
      <c r="I3719" s="559"/>
      <c r="J3719" s="559"/>
      <c r="K3719" s="560"/>
      <c r="L3719" s="560"/>
      <c r="M3719" s="560"/>
    </row>
    <row r="3720" spans="3:13" s="338" customFormat="1">
      <c r="C3720" s="558"/>
      <c r="D3720" s="559"/>
      <c r="E3720" s="559"/>
      <c r="F3720" s="559"/>
      <c r="G3720" s="558"/>
      <c r="H3720" s="559"/>
      <c r="I3720" s="559"/>
      <c r="J3720" s="559"/>
      <c r="K3720" s="560"/>
      <c r="L3720" s="560"/>
      <c r="M3720" s="560"/>
    </row>
    <row r="3721" spans="3:13" s="338" customFormat="1">
      <c r="C3721" s="558"/>
      <c r="D3721" s="559"/>
      <c r="E3721" s="559"/>
      <c r="F3721" s="559"/>
      <c r="G3721" s="558"/>
      <c r="H3721" s="559"/>
      <c r="I3721" s="559"/>
      <c r="J3721" s="559"/>
      <c r="K3721" s="560"/>
      <c r="L3721" s="560"/>
      <c r="M3721" s="560"/>
    </row>
    <row r="3722" spans="3:13" s="338" customFormat="1">
      <c r="C3722" s="558"/>
      <c r="D3722" s="559"/>
      <c r="E3722" s="559"/>
      <c r="F3722" s="559"/>
      <c r="G3722" s="558"/>
      <c r="H3722" s="559"/>
      <c r="I3722" s="559"/>
      <c r="J3722" s="559"/>
      <c r="K3722" s="560"/>
      <c r="L3722" s="560"/>
      <c r="M3722" s="560"/>
    </row>
    <row r="3723" spans="3:13" s="338" customFormat="1">
      <c r="C3723" s="558"/>
      <c r="D3723" s="559"/>
      <c r="E3723" s="559"/>
      <c r="F3723" s="559"/>
      <c r="G3723" s="558"/>
      <c r="H3723" s="559"/>
      <c r="I3723" s="559"/>
      <c r="J3723" s="559"/>
      <c r="K3723" s="560"/>
      <c r="L3723" s="560"/>
      <c r="M3723" s="560"/>
    </row>
    <row r="3724" spans="3:13" s="338" customFormat="1">
      <c r="C3724" s="558"/>
      <c r="D3724" s="559"/>
      <c r="E3724" s="559"/>
      <c r="F3724" s="559"/>
      <c r="G3724" s="558"/>
      <c r="H3724" s="559"/>
      <c r="I3724" s="559"/>
      <c r="J3724" s="559"/>
      <c r="K3724" s="560"/>
      <c r="L3724" s="560"/>
      <c r="M3724" s="560"/>
    </row>
    <row r="3725" spans="3:13" s="338" customFormat="1">
      <c r="C3725" s="558"/>
      <c r="D3725" s="559"/>
      <c r="E3725" s="559"/>
      <c r="F3725" s="559"/>
      <c r="G3725" s="558"/>
      <c r="H3725" s="559"/>
      <c r="I3725" s="559"/>
      <c r="J3725" s="559"/>
      <c r="K3725" s="560"/>
      <c r="L3725" s="560"/>
      <c r="M3725" s="560"/>
    </row>
    <row r="3726" spans="3:13" s="338" customFormat="1">
      <c r="C3726" s="558"/>
      <c r="D3726" s="559"/>
      <c r="E3726" s="559"/>
      <c r="F3726" s="559"/>
      <c r="G3726" s="558"/>
      <c r="H3726" s="559"/>
      <c r="I3726" s="559"/>
      <c r="J3726" s="559"/>
      <c r="K3726" s="560"/>
      <c r="L3726" s="560"/>
      <c r="M3726" s="560"/>
    </row>
    <row r="3727" spans="3:13" s="338" customFormat="1">
      <c r="C3727" s="558"/>
      <c r="D3727" s="559"/>
      <c r="E3727" s="559"/>
      <c r="F3727" s="559"/>
      <c r="G3727" s="558"/>
      <c r="H3727" s="559"/>
      <c r="I3727" s="559"/>
      <c r="J3727" s="559"/>
      <c r="K3727" s="560"/>
      <c r="L3727" s="560"/>
      <c r="M3727" s="560"/>
    </row>
    <row r="3728" spans="3:13" s="338" customFormat="1">
      <c r="C3728" s="558"/>
      <c r="D3728" s="559"/>
      <c r="E3728" s="559"/>
      <c r="F3728" s="559"/>
      <c r="G3728" s="558"/>
      <c r="H3728" s="559"/>
      <c r="I3728" s="559"/>
      <c r="J3728" s="559"/>
      <c r="K3728" s="560"/>
      <c r="L3728" s="560"/>
      <c r="M3728" s="560"/>
    </row>
    <row r="3729" spans="3:13" s="338" customFormat="1">
      <c r="C3729" s="558"/>
      <c r="D3729" s="559"/>
      <c r="E3729" s="559"/>
      <c r="F3729" s="559"/>
      <c r="G3729" s="558"/>
      <c r="H3729" s="559"/>
      <c r="I3729" s="559"/>
      <c r="J3729" s="559"/>
      <c r="K3729" s="560"/>
      <c r="L3729" s="560"/>
      <c r="M3729" s="560"/>
    </row>
    <row r="3730" spans="3:13" s="338" customFormat="1">
      <c r="C3730" s="558"/>
      <c r="D3730" s="559"/>
      <c r="E3730" s="559"/>
      <c r="F3730" s="559"/>
      <c r="G3730" s="558"/>
      <c r="H3730" s="559"/>
      <c r="I3730" s="559"/>
      <c r="J3730" s="559"/>
      <c r="K3730" s="560"/>
      <c r="L3730" s="560"/>
      <c r="M3730" s="560"/>
    </row>
    <row r="3731" spans="3:13" s="338" customFormat="1">
      <c r="C3731" s="558"/>
      <c r="D3731" s="559"/>
      <c r="E3731" s="559"/>
      <c r="F3731" s="559"/>
      <c r="G3731" s="558"/>
      <c r="H3731" s="559"/>
      <c r="I3731" s="559"/>
      <c r="J3731" s="559"/>
      <c r="K3731" s="560"/>
      <c r="L3731" s="560"/>
      <c r="M3731" s="560"/>
    </row>
    <row r="3732" spans="3:13" s="338" customFormat="1">
      <c r="C3732" s="558"/>
      <c r="D3732" s="559"/>
      <c r="E3732" s="559"/>
      <c r="F3732" s="559"/>
      <c r="G3732" s="558"/>
      <c r="H3732" s="559"/>
      <c r="I3732" s="559"/>
      <c r="J3732" s="559"/>
      <c r="K3732" s="560"/>
      <c r="L3732" s="560"/>
      <c r="M3732" s="560"/>
    </row>
    <row r="3733" spans="3:13" s="338" customFormat="1">
      <c r="C3733" s="558"/>
      <c r="D3733" s="559"/>
      <c r="E3733" s="559"/>
      <c r="F3733" s="559"/>
      <c r="G3733" s="558"/>
      <c r="H3733" s="559"/>
      <c r="I3733" s="559"/>
      <c r="J3733" s="559"/>
      <c r="K3733" s="560"/>
      <c r="L3733" s="560"/>
      <c r="M3733" s="560"/>
    </row>
    <row r="3734" spans="3:13" s="338" customFormat="1">
      <c r="C3734" s="558"/>
      <c r="D3734" s="559"/>
      <c r="E3734" s="559"/>
      <c r="F3734" s="559"/>
      <c r="G3734" s="558"/>
      <c r="H3734" s="559"/>
      <c r="I3734" s="559"/>
      <c r="J3734" s="559"/>
      <c r="K3734" s="560"/>
      <c r="L3734" s="560"/>
      <c r="M3734" s="560"/>
    </row>
    <row r="3735" spans="3:13" s="338" customFormat="1">
      <c r="C3735" s="558"/>
      <c r="D3735" s="559"/>
      <c r="E3735" s="559"/>
      <c r="F3735" s="559"/>
      <c r="G3735" s="558"/>
      <c r="H3735" s="559"/>
      <c r="I3735" s="559"/>
      <c r="J3735" s="559"/>
      <c r="K3735" s="560"/>
      <c r="L3735" s="560"/>
      <c r="M3735" s="560"/>
    </row>
    <row r="3736" spans="3:13" s="338" customFormat="1">
      <c r="C3736" s="558"/>
      <c r="D3736" s="559"/>
      <c r="E3736" s="559"/>
      <c r="F3736" s="559"/>
      <c r="G3736" s="558"/>
      <c r="H3736" s="559"/>
      <c r="I3736" s="559"/>
      <c r="J3736" s="559"/>
      <c r="K3736" s="560"/>
      <c r="L3736" s="560"/>
      <c r="M3736" s="560"/>
    </row>
    <row r="3737" spans="3:13" s="338" customFormat="1">
      <c r="C3737" s="558"/>
      <c r="D3737" s="559"/>
      <c r="E3737" s="559"/>
      <c r="F3737" s="559"/>
      <c r="G3737" s="558"/>
      <c r="H3737" s="559"/>
      <c r="I3737" s="559"/>
      <c r="J3737" s="559"/>
      <c r="K3737" s="560"/>
      <c r="L3737" s="560"/>
      <c r="M3737" s="560"/>
    </row>
    <row r="3738" spans="3:13" s="338" customFormat="1">
      <c r="C3738" s="558"/>
      <c r="D3738" s="559"/>
      <c r="E3738" s="559"/>
      <c r="F3738" s="559"/>
      <c r="G3738" s="558"/>
      <c r="H3738" s="559"/>
      <c r="I3738" s="559"/>
      <c r="J3738" s="559"/>
      <c r="K3738" s="560"/>
      <c r="L3738" s="560"/>
      <c r="M3738" s="560"/>
    </row>
    <row r="3739" spans="3:13" s="338" customFormat="1">
      <c r="C3739" s="558"/>
      <c r="D3739" s="559"/>
      <c r="E3739" s="559"/>
      <c r="F3739" s="559"/>
      <c r="G3739" s="558"/>
      <c r="H3739" s="559"/>
      <c r="I3739" s="559"/>
      <c r="J3739" s="559"/>
      <c r="K3739" s="560"/>
      <c r="L3739" s="560"/>
      <c r="M3739" s="560"/>
    </row>
    <row r="3740" spans="3:13" s="338" customFormat="1">
      <c r="C3740" s="558"/>
      <c r="D3740" s="559"/>
      <c r="E3740" s="559"/>
      <c r="F3740" s="559"/>
      <c r="G3740" s="558"/>
      <c r="H3740" s="559"/>
      <c r="I3740" s="559"/>
      <c r="J3740" s="559"/>
      <c r="K3740" s="560"/>
      <c r="L3740" s="560"/>
      <c r="M3740" s="560"/>
    </row>
    <row r="3741" spans="3:13" s="338" customFormat="1">
      <c r="C3741" s="558"/>
      <c r="D3741" s="559"/>
      <c r="E3741" s="559"/>
      <c r="F3741" s="559"/>
      <c r="G3741" s="558"/>
      <c r="H3741" s="559"/>
      <c r="I3741" s="559"/>
      <c r="J3741" s="559"/>
      <c r="K3741" s="560"/>
      <c r="L3741" s="560"/>
      <c r="M3741" s="560"/>
    </row>
    <row r="3742" spans="3:13" s="338" customFormat="1">
      <c r="C3742" s="558"/>
      <c r="D3742" s="559"/>
      <c r="E3742" s="559"/>
      <c r="F3742" s="559"/>
      <c r="G3742" s="558"/>
      <c r="H3742" s="559"/>
      <c r="I3742" s="559"/>
      <c r="J3742" s="559"/>
      <c r="K3742" s="560"/>
      <c r="L3742" s="560"/>
      <c r="M3742" s="560"/>
    </row>
    <row r="3743" spans="3:13" s="338" customFormat="1">
      <c r="C3743" s="558"/>
      <c r="D3743" s="559"/>
      <c r="E3743" s="559"/>
      <c r="F3743" s="559"/>
      <c r="G3743" s="558"/>
      <c r="H3743" s="559"/>
      <c r="I3743" s="559"/>
      <c r="J3743" s="559"/>
      <c r="K3743" s="560"/>
      <c r="L3743" s="560"/>
      <c r="M3743" s="560"/>
    </row>
    <row r="3744" spans="3:13" s="338" customFormat="1">
      <c r="C3744" s="558"/>
      <c r="D3744" s="559"/>
      <c r="E3744" s="559"/>
      <c r="F3744" s="559"/>
      <c r="G3744" s="558"/>
      <c r="H3744" s="559"/>
      <c r="I3744" s="559"/>
      <c r="J3744" s="559"/>
      <c r="K3744" s="560"/>
      <c r="L3744" s="560"/>
      <c r="M3744" s="560"/>
    </row>
    <row r="3745" spans="3:13" s="338" customFormat="1">
      <c r="C3745" s="558"/>
      <c r="D3745" s="559"/>
      <c r="E3745" s="559"/>
      <c r="F3745" s="559"/>
      <c r="G3745" s="558"/>
      <c r="H3745" s="559"/>
      <c r="I3745" s="559"/>
      <c r="J3745" s="559"/>
      <c r="K3745" s="560"/>
      <c r="L3745" s="560"/>
      <c r="M3745" s="560"/>
    </row>
    <row r="3746" spans="3:13" s="338" customFormat="1">
      <c r="C3746" s="558"/>
      <c r="D3746" s="559"/>
      <c r="E3746" s="559"/>
      <c r="F3746" s="559"/>
      <c r="G3746" s="558"/>
      <c r="H3746" s="559"/>
      <c r="I3746" s="559"/>
      <c r="J3746" s="559"/>
      <c r="K3746" s="560"/>
      <c r="L3746" s="560"/>
      <c r="M3746" s="560"/>
    </row>
    <row r="3747" spans="3:13" s="338" customFormat="1">
      <c r="C3747" s="558"/>
      <c r="D3747" s="559"/>
      <c r="E3747" s="559"/>
      <c r="F3747" s="559"/>
      <c r="G3747" s="558"/>
      <c r="H3747" s="559"/>
      <c r="I3747" s="559"/>
      <c r="J3747" s="559"/>
      <c r="K3747" s="560"/>
      <c r="L3747" s="560"/>
      <c r="M3747" s="560"/>
    </row>
    <row r="3748" spans="3:13" s="338" customFormat="1">
      <c r="C3748" s="558"/>
      <c r="D3748" s="559"/>
      <c r="E3748" s="559"/>
      <c r="F3748" s="559"/>
      <c r="G3748" s="558"/>
      <c r="H3748" s="559"/>
      <c r="I3748" s="559"/>
      <c r="J3748" s="559"/>
      <c r="K3748" s="560"/>
      <c r="L3748" s="560"/>
      <c r="M3748" s="560"/>
    </row>
    <row r="3749" spans="3:13" s="338" customFormat="1">
      <c r="C3749" s="558"/>
      <c r="D3749" s="559"/>
      <c r="E3749" s="559"/>
      <c r="F3749" s="559"/>
      <c r="G3749" s="558"/>
      <c r="H3749" s="559"/>
      <c r="I3749" s="559"/>
      <c r="J3749" s="559"/>
      <c r="K3749" s="560"/>
      <c r="L3749" s="560"/>
      <c r="M3749" s="560"/>
    </row>
    <row r="3750" spans="3:13" s="338" customFormat="1">
      <c r="C3750" s="558"/>
      <c r="D3750" s="559"/>
      <c r="E3750" s="559"/>
      <c r="F3750" s="559"/>
      <c r="G3750" s="558"/>
      <c r="H3750" s="559"/>
      <c r="I3750" s="559"/>
      <c r="J3750" s="559"/>
      <c r="K3750" s="560"/>
      <c r="L3750" s="560"/>
      <c r="M3750" s="560"/>
    </row>
    <row r="3751" spans="3:13" s="338" customFormat="1">
      <c r="C3751" s="558"/>
      <c r="D3751" s="559"/>
      <c r="E3751" s="559"/>
      <c r="F3751" s="559"/>
      <c r="G3751" s="558"/>
      <c r="H3751" s="559"/>
      <c r="I3751" s="559"/>
      <c r="J3751" s="559"/>
      <c r="K3751" s="560"/>
      <c r="L3751" s="560"/>
      <c r="M3751" s="560"/>
    </row>
    <row r="3752" spans="3:13" s="338" customFormat="1">
      <c r="C3752" s="558"/>
      <c r="D3752" s="559"/>
      <c r="E3752" s="559"/>
      <c r="F3752" s="559"/>
      <c r="G3752" s="558"/>
      <c r="H3752" s="559"/>
      <c r="I3752" s="559"/>
      <c r="J3752" s="559"/>
      <c r="K3752" s="560"/>
      <c r="L3752" s="560"/>
      <c r="M3752" s="560"/>
    </row>
    <row r="3753" spans="3:13" s="338" customFormat="1">
      <c r="C3753" s="558"/>
      <c r="D3753" s="559"/>
      <c r="E3753" s="559"/>
      <c r="F3753" s="559"/>
      <c r="G3753" s="558"/>
      <c r="H3753" s="559"/>
      <c r="I3753" s="559"/>
      <c r="J3753" s="559"/>
      <c r="K3753" s="560"/>
      <c r="L3753" s="560"/>
      <c r="M3753" s="560"/>
    </row>
    <row r="3754" spans="3:13" s="338" customFormat="1">
      <c r="C3754" s="558"/>
      <c r="D3754" s="559"/>
      <c r="E3754" s="559"/>
      <c r="F3754" s="559"/>
      <c r="G3754" s="558"/>
      <c r="H3754" s="559"/>
      <c r="I3754" s="559"/>
      <c r="J3754" s="559"/>
      <c r="K3754" s="560"/>
      <c r="L3754" s="560"/>
      <c r="M3754" s="560"/>
    </row>
    <row r="3755" spans="3:13" s="338" customFormat="1">
      <c r="C3755" s="558"/>
      <c r="D3755" s="559"/>
      <c r="E3755" s="559"/>
      <c r="F3755" s="559"/>
      <c r="G3755" s="558"/>
      <c r="H3755" s="559"/>
      <c r="I3755" s="559"/>
      <c r="J3755" s="559"/>
      <c r="K3755" s="560"/>
      <c r="L3755" s="560"/>
      <c r="M3755" s="560"/>
    </row>
    <row r="3756" spans="3:13" s="338" customFormat="1">
      <c r="C3756" s="558"/>
      <c r="D3756" s="559"/>
      <c r="E3756" s="559"/>
      <c r="F3756" s="559"/>
      <c r="G3756" s="558"/>
      <c r="H3756" s="559"/>
      <c r="I3756" s="559"/>
      <c r="J3756" s="559"/>
      <c r="K3756" s="560"/>
      <c r="L3756" s="560"/>
      <c r="M3756" s="560"/>
    </row>
    <row r="3757" spans="3:13" s="338" customFormat="1">
      <c r="C3757" s="558"/>
      <c r="D3757" s="559"/>
      <c r="E3757" s="559"/>
      <c r="F3757" s="559"/>
      <c r="G3757" s="558"/>
      <c r="H3757" s="559"/>
      <c r="I3757" s="559"/>
      <c r="J3757" s="559"/>
      <c r="K3757" s="560"/>
      <c r="L3757" s="560"/>
      <c r="M3757" s="560"/>
    </row>
    <row r="3758" spans="3:13" s="338" customFormat="1">
      <c r="C3758" s="558"/>
      <c r="D3758" s="559"/>
      <c r="E3758" s="559"/>
      <c r="F3758" s="559"/>
      <c r="G3758" s="558"/>
      <c r="H3758" s="559"/>
      <c r="I3758" s="559"/>
      <c r="J3758" s="559"/>
      <c r="K3758" s="560"/>
      <c r="L3758" s="560"/>
      <c r="M3758" s="560"/>
    </row>
    <row r="3759" spans="3:13" s="338" customFormat="1">
      <c r="C3759" s="558"/>
      <c r="D3759" s="559"/>
      <c r="E3759" s="559"/>
      <c r="F3759" s="559"/>
      <c r="G3759" s="558"/>
      <c r="H3759" s="559"/>
      <c r="I3759" s="559"/>
      <c r="J3759" s="559"/>
      <c r="K3759" s="560"/>
      <c r="L3759" s="560"/>
      <c r="M3759" s="560"/>
    </row>
    <row r="3760" spans="3:13" s="338" customFormat="1">
      <c r="C3760" s="558"/>
      <c r="D3760" s="559"/>
      <c r="E3760" s="559"/>
      <c r="F3760" s="559"/>
      <c r="G3760" s="558"/>
      <c r="H3760" s="559"/>
      <c r="I3760" s="559"/>
      <c r="J3760" s="559"/>
      <c r="K3760" s="560"/>
      <c r="L3760" s="560"/>
      <c r="M3760" s="560"/>
    </row>
    <row r="3761" spans="3:13" s="338" customFormat="1">
      <c r="C3761" s="558"/>
      <c r="D3761" s="559"/>
      <c r="E3761" s="559"/>
      <c r="F3761" s="559"/>
      <c r="G3761" s="558"/>
      <c r="H3761" s="559"/>
      <c r="I3761" s="559"/>
      <c r="J3761" s="559"/>
      <c r="K3761" s="560"/>
      <c r="L3761" s="560"/>
      <c r="M3761" s="560"/>
    </row>
    <row r="3762" spans="3:13" s="338" customFormat="1">
      <c r="C3762" s="558"/>
      <c r="D3762" s="559"/>
      <c r="E3762" s="559"/>
      <c r="F3762" s="559"/>
      <c r="G3762" s="558"/>
      <c r="H3762" s="559"/>
      <c r="I3762" s="559"/>
      <c r="J3762" s="559"/>
      <c r="K3762" s="560"/>
      <c r="L3762" s="560"/>
      <c r="M3762" s="560"/>
    </row>
    <row r="3763" spans="3:13" s="338" customFormat="1">
      <c r="C3763" s="558"/>
      <c r="D3763" s="559"/>
      <c r="E3763" s="559"/>
      <c r="F3763" s="559"/>
      <c r="G3763" s="558"/>
      <c r="H3763" s="559"/>
      <c r="I3763" s="559"/>
      <c r="J3763" s="559"/>
      <c r="K3763" s="560"/>
      <c r="L3763" s="560"/>
      <c r="M3763" s="560"/>
    </row>
    <row r="3764" spans="3:13" s="338" customFormat="1">
      <c r="C3764" s="558"/>
      <c r="D3764" s="559"/>
      <c r="E3764" s="559"/>
      <c r="F3764" s="559"/>
      <c r="G3764" s="558"/>
      <c r="H3764" s="559"/>
      <c r="I3764" s="559"/>
      <c r="J3764" s="559"/>
      <c r="K3764" s="560"/>
      <c r="L3764" s="560"/>
      <c r="M3764" s="560"/>
    </row>
    <row r="3765" spans="3:13" s="338" customFormat="1">
      <c r="C3765" s="558"/>
      <c r="D3765" s="559"/>
      <c r="E3765" s="559"/>
      <c r="F3765" s="559"/>
      <c r="G3765" s="558"/>
      <c r="H3765" s="559"/>
      <c r="I3765" s="559"/>
      <c r="J3765" s="559"/>
      <c r="K3765" s="560"/>
      <c r="L3765" s="560"/>
      <c r="M3765" s="560"/>
    </row>
    <row r="3766" spans="3:13" s="338" customFormat="1">
      <c r="C3766" s="558"/>
      <c r="D3766" s="559"/>
      <c r="E3766" s="559"/>
      <c r="F3766" s="559"/>
      <c r="G3766" s="558"/>
      <c r="H3766" s="559"/>
      <c r="I3766" s="559"/>
      <c r="J3766" s="559"/>
      <c r="K3766" s="560"/>
      <c r="L3766" s="560"/>
      <c r="M3766" s="560"/>
    </row>
    <row r="3767" spans="3:13" s="338" customFormat="1">
      <c r="C3767" s="558"/>
      <c r="D3767" s="559"/>
      <c r="E3767" s="559"/>
      <c r="F3767" s="559"/>
      <c r="G3767" s="558"/>
      <c r="H3767" s="559"/>
      <c r="I3767" s="559"/>
      <c r="J3767" s="559"/>
      <c r="K3767" s="560"/>
      <c r="L3767" s="560"/>
      <c r="M3767" s="560"/>
    </row>
    <row r="3768" spans="3:13" s="338" customFormat="1">
      <c r="C3768" s="558"/>
      <c r="D3768" s="559"/>
      <c r="E3768" s="559"/>
      <c r="F3768" s="559"/>
      <c r="G3768" s="558"/>
      <c r="H3768" s="559"/>
      <c r="I3768" s="559"/>
      <c r="J3768" s="559"/>
      <c r="K3768" s="560"/>
      <c r="L3768" s="560"/>
      <c r="M3768" s="560"/>
    </row>
    <row r="3769" spans="3:13" s="338" customFormat="1">
      <c r="C3769" s="558"/>
      <c r="D3769" s="559"/>
      <c r="E3769" s="559"/>
      <c r="F3769" s="559"/>
      <c r="G3769" s="558"/>
      <c r="H3769" s="559"/>
      <c r="I3769" s="559"/>
      <c r="J3769" s="559"/>
      <c r="K3769" s="560"/>
      <c r="L3769" s="560"/>
      <c r="M3769" s="560"/>
    </row>
    <row r="3770" spans="3:13" s="338" customFormat="1">
      <c r="C3770" s="558"/>
      <c r="D3770" s="559"/>
      <c r="E3770" s="559"/>
      <c r="F3770" s="559"/>
      <c r="G3770" s="558"/>
      <c r="H3770" s="559"/>
      <c r="I3770" s="559"/>
      <c r="J3770" s="559"/>
      <c r="K3770" s="560"/>
      <c r="L3770" s="560"/>
      <c r="M3770" s="560"/>
    </row>
    <row r="3771" spans="3:13" s="338" customFormat="1">
      <c r="C3771" s="558"/>
      <c r="D3771" s="559"/>
      <c r="E3771" s="559"/>
      <c r="F3771" s="559"/>
      <c r="G3771" s="558"/>
      <c r="H3771" s="559"/>
      <c r="I3771" s="559"/>
      <c r="J3771" s="559"/>
      <c r="K3771" s="560"/>
      <c r="L3771" s="560"/>
      <c r="M3771" s="560"/>
    </row>
    <row r="3772" spans="3:13" s="338" customFormat="1">
      <c r="C3772" s="558"/>
      <c r="D3772" s="559"/>
      <c r="E3772" s="559"/>
      <c r="F3772" s="559"/>
      <c r="G3772" s="558"/>
      <c r="H3772" s="559"/>
      <c r="I3772" s="559"/>
      <c r="J3772" s="559"/>
      <c r="K3772" s="560"/>
      <c r="L3772" s="560"/>
      <c r="M3772" s="560"/>
    </row>
    <row r="3773" spans="3:13" s="338" customFormat="1">
      <c r="C3773" s="558"/>
      <c r="D3773" s="559"/>
      <c r="E3773" s="559"/>
      <c r="F3773" s="559"/>
      <c r="G3773" s="558"/>
      <c r="H3773" s="559"/>
      <c r="I3773" s="559"/>
      <c r="J3773" s="559"/>
      <c r="K3773" s="560"/>
      <c r="L3773" s="560"/>
      <c r="M3773" s="560"/>
    </row>
    <row r="3774" spans="3:13" s="338" customFormat="1">
      <c r="C3774" s="558"/>
      <c r="D3774" s="559"/>
      <c r="E3774" s="559"/>
      <c r="F3774" s="559"/>
      <c r="G3774" s="558"/>
      <c r="H3774" s="559"/>
      <c r="I3774" s="559"/>
      <c r="J3774" s="559"/>
      <c r="K3774" s="560"/>
      <c r="L3774" s="560"/>
      <c r="M3774" s="560"/>
    </row>
    <row r="3775" spans="3:13" s="338" customFormat="1">
      <c r="C3775" s="558"/>
      <c r="D3775" s="559"/>
      <c r="E3775" s="559"/>
      <c r="F3775" s="559"/>
      <c r="G3775" s="558"/>
      <c r="H3775" s="559"/>
      <c r="I3775" s="559"/>
      <c r="J3775" s="559"/>
      <c r="K3775" s="560"/>
      <c r="L3775" s="560"/>
      <c r="M3775" s="560"/>
    </row>
    <row r="3776" spans="3:13" s="338" customFormat="1">
      <c r="C3776" s="558"/>
      <c r="D3776" s="559"/>
      <c r="E3776" s="559"/>
      <c r="F3776" s="559"/>
      <c r="G3776" s="558"/>
      <c r="H3776" s="559"/>
      <c r="I3776" s="559"/>
      <c r="J3776" s="559"/>
      <c r="K3776" s="560"/>
      <c r="L3776" s="560"/>
      <c r="M3776" s="560"/>
    </row>
    <row r="3777" spans="3:13" s="338" customFormat="1">
      <c r="C3777" s="558"/>
      <c r="D3777" s="559"/>
      <c r="E3777" s="559"/>
      <c r="F3777" s="559"/>
      <c r="G3777" s="558"/>
      <c r="H3777" s="559"/>
      <c r="I3777" s="559"/>
      <c r="J3777" s="559"/>
      <c r="K3777" s="560"/>
      <c r="L3777" s="560"/>
      <c r="M3777" s="560"/>
    </row>
    <row r="3778" spans="3:13" s="338" customFormat="1">
      <c r="C3778" s="558"/>
      <c r="D3778" s="559"/>
      <c r="E3778" s="559"/>
      <c r="F3778" s="559"/>
      <c r="G3778" s="558"/>
      <c r="H3778" s="559"/>
      <c r="I3778" s="559"/>
      <c r="J3778" s="559"/>
      <c r="K3778" s="560"/>
      <c r="L3778" s="560"/>
      <c r="M3778" s="560"/>
    </row>
    <row r="3779" spans="3:13" s="338" customFormat="1">
      <c r="C3779" s="558"/>
      <c r="D3779" s="559"/>
      <c r="E3779" s="559"/>
      <c r="F3779" s="559"/>
      <c r="G3779" s="558"/>
      <c r="H3779" s="559"/>
      <c r="I3779" s="559"/>
      <c r="J3779" s="559"/>
      <c r="K3779" s="560"/>
      <c r="L3779" s="560"/>
      <c r="M3779" s="560"/>
    </row>
    <row r="3780" spans="3:13" s="338" customFormat="1">
      <c r="C3780" s="558"/>
      <c r="D3780" s="559"/>
      <c r="E3780" s="559"/>
      <c r="F3780" s="559"/>
      <c r="G3780" s="558"/>
      <c r="H3780" s="559"/>
      <c r="I3780" s="559"/>
      <c r="J3780" s="559"/>
      <c r="K3780" s="560"/>
      <c r="L3780" s="560"/>
      <c r="M3780" s="560"/>
    </row>
    <row r="3781" spans="3:13" s="338" customFormat="1">
      <c r="C3781" s="558"/>
      <c r="D3781" s="559"/>
      <c r="E3781" s="559"/>
      <c r="F3781" s="559"/>
      <c r="G3781" s="558"/>
      <c r="H3781" s="559"/>
      <c r="I3781" s="559"/>
      <c r="J3781" s="559"/>
      <c r="K3781" s="560"/>
      <c r="L3781" s="560"/>
      <c r="M3781" s="560"/>
    </row>
    <row r="3782" spans="3:13" s="338" customFormat="1">
      <c r="C3782" s="558"/>
      <c r="D3782" s="559"/>
      <c r="E3782" s="559"/>
      <c r="F3782" s="559"/>
      <c r="G3782" s="558"/>
      <c r="H3782" s="559"/>
      <c r="I3782" s="559"/>
      <c r="J3782" s="559"/>
      <c r="K3782" s="560"/>
      <c r="L3782" s="560"/>
      <c r="M3782" s="560"/>
    </row>
    <row r="3783" spans="3:13" s="338" customFormat="1">
      <c r="C3783" s="558"/>
      <c r="D3783" s="559"/>
      <c r="E3783" s="559"/>
      <c r="F3783" s="559"/>
      <c r="G3783" s="558"/>
      <c r="H3783" s="559"/>
      <c r="I3783" s="559"/>
      <c r="J3783" s="559"/>
      <c r="K3783" s="560"/>
      <c r="L3783" s="560"/>
      <c r="M3783" s="560"/>
    </row>
    <row r="3784" spans="3:13" s="338" customFormat="1">
      <c r="C3784" s="558"/>
      <c r="D3784" s="559"/>
      <c r="E3784" s="559"/>
      <c r="F3784" s="559"/>
      <c r="G3784" s="558"/>
      <c r="H3784" s="559"/>
      <c r="I3784" s="559"/>
      <c r="J3784" s="559"/>
      <c r="K3784" s="560"/>
      <c r="L3784" s="560"/>
      <c r="M3784" s="560"/>
    </row>
    <row r="3785" spans="3:13" s="338" customFormat="1">
      <c r="C3785" s="558"/>
      <c r="D3785" s="559"/>
      <c r="E3785" s="559"/>
      <c r="F3785" s="559"/>
      <c r="G3785" s="558"/>
      <c r="H3785" s="559"/>
      <c r="I3785" s="559"/>
      <c r="J3785" s="559"/>
      <c r="K3785" s="560"/>
      <c r="L3785" s="560"/>
      <c r="M3785" s="560"/>
    </row>
    <row r="3786" spans="3:13" s="338" customFormat="1">
      <c r="C3786" s="558"/>
      <c r="D3786" s="559"/>
      <c r="E3786" s="559"/>
      <c r="F3786" s="559"/>
      <c r="G3786" s="558"/>
      <c r="H3786" s="559"/>
      <c r="I3786" s="559"/>
      <c r="J3786" s="559"/>
      <c r="K3786" s="560"/>
      <c r="L3786" s="560"/>
      <c r="M3786" s="560"/>
    </row>
    <row r="3787" spans="3:13" s="338" customFormat="1">
      <c r="C3787" s="558"/>
      <c r="D3787" s="559"/>
      <c r="E3787" s="559"/>
      <c r="F3787" s="559"/>
      <c r="G3787" s="558"/>
      <c r="H3787" s="559"/>
      <c r="I3787" s="559"/>
      <c r="J3787" s="559"/>
      <c r="K3787" s="560"/>
      <c r="L3787" s="560"/>
      <c r="M3787" s="560"/>
    </row>
    <row r="3788" spans="3:13" s="338" customFormat="1">
      <c r="C3788" s="558"/>
      <c r="D3788" s="559"/>
      <c r="E3788" s="559"/>
      <c r="F3788" s="559"/>
      <c r="G3788" s="558"/>
      <c r="H3788" s="559"/>
      <c r="I3788" s="559"/>
      <c r="J3788" s="559"/>
      <c r="K3788" s="560"/>
      <c r="L3788" s="560"/>
      <c r="M3788" s="560"/>
    </row>
    <row r="3789" spans="3:13" s="338" customFormat="1">
      <c r="C3789" s="558"/>
      <c r="D3789" s="559"/>
      <c r="E3789" s="559"/>
      <c r="F3789" s="559"/>
      <c r="G3789" s="558"/>
      <c r="H3789" s="559"/>
      <c r="I3789" s="559"/>
      <c r="J3789" s="559"/>
      <c r="K3789" s="560"/>
      <c r="L3789" s="560"/>
      <c r="M3789" s="560"/>
    </row>
    <row r="3790" spans="3:13" s="338" customFormat="1">
      <c r="C3790" s="558"/>
      <c r="D3790" s="559"/>
      <c r="E3790" s="559"/>
      <c r="F3790" s="559"/>
      <c r="G3790" s="558"/>
      <c r="H3790" s="559"/>
      <c r="I3790" s="559"/>
      <c r="J3790" s="559"/>
      <c r="K3790" s="560"/>
      <c r="L3790" s="560"/>
      <c r="M3790" s="560"/>
    </row>
    <row r="3791" spans="3:13" s="338" customFormat="1">
      <c r="C3791" s="558"/>
      <c r="D3791" s="559"/>
      <c r="E3791" s="559"/>
      <c r="F3791" s="559"/>
      <c r="G3791" s="558"/>
      <c r="H3791" s="559"/>
      <c r="I3791" s="559"/>
      <c r="J3791" s="559"/>
      <c r="K3791" s="560"/>
      <c r="L3791" s="560"/>
      <c r="M3791" s="560"/>
    </row>
    <row r="3792" spans="3:13" s="338" customFormat="1">
      <c r="C3792" s="558"/>
      <c r="D3792" s="559"/>
      <c r="E3792" s="559"/>
      <c r="F3792" s="559"/>
      <c r="G3792" s="558"/>
      <c r="H3792" s="559"/>
      <c r="I3792" s="559"/>
      <c r="J3792" s="559"/>
      <c r="K3792" s="560"/>
      <c r="L3792" s="560"/>
      <c r="M3792" s="560"/>
    </row>
    <row r="3793" spans="3:13" s="338" customFormat="1">
      <c r="C3793" s="558"/>
      <c r="D3793" s="559"/>
      <c r="E3793" s="559"/>
      <c r="F3793" s="559"/>
      <c r="G3793" s="558"/>
      <c r="H3793" s="559"/>
      <c r="I3793" s="559"/>
      <c r="J3793" s="559"/>
      <c r="K3793" s="560"/>
      <c r="L3793" s="560"/>
      <c r="M3793" s="560"/>
    </row>
    <row r="3794" spans="3:13" s="338" customFormat="1">
      <c r="C3794" s="558"/>
      <c r="D3794" s="559"/>
      <c r="E3794" s="559"/>
      <c r="F3794" s="559"/>
      <c r="G3794" s="558"/>
      <c r="H3794" s="559"/>
      <c r="I3794" s="559"/>
      <c r="J3794" s="559"/>
      <c r="K3794" s="560"/>
      <c r="L3794" s="560"/>
      <c r="M3794" s="560"/>
    </row>
    <row r="3795" spans="3:13" s="338" customFormat="1">
      <c r="C3795" s="558"/>
      <c r="D3795" s="559"/>
      <c r="E3795" s="559"/>
      <c r="F3795" s="559"/>
      <c r="G3795" s="558"/>
      <c r="H3795" s="559"/>
      <c r="I3795" s="559"/>
      <c r="J3795" s="559"/>
      <c r="K3795" s="560"/>
      <c r="L3795" s="560"/>
      <c r="M3795" s="560"/>
    </row>
    <row r="3796" spans="3:13" s="338" customFormat="1">
      <c r="C3796" s="558"/>
      <c r="D3796" s="559"/>
      <c r="E3796" s="559"/>
      <c r="F3796" s="559"/>
      <c r="G3796" s="558"/>
      <c r="H3796" s="559"/>
      <c r="I3796" s="559"/>
      <c r="J3796" s="559"/>
      <c r="K3796" s="560"/>
      <c r="L3796" s="560"/>
      <c r="M3796" s="560"/>
    </row>
    <row r="3797" spans="3:13" s="338" customFormat="1">
      <c r="C3797" s="558"/>
      <c r="D3797" s="559"/>
      <c r="E3797" s="559"/>
      <c r="F3797" s="559"/>
      <c r="G3797" s="558"/>
      <c r="H3797" s="559"/>
      <c r="I3797" s="559"/>
      <c r="J3797" s="559"/>
      <c r="K3797" s="560"/>
      <c r="L3797" s="560"/>
      <c r="M3797" s="560"/>
    </row>
    <row r="3798" spans="3:13" s="338" customFormat="1">
      <c r="C3798" s="558"/>
      <c r="D3798" s="559"/>
      <c r="E3798" s="559"/>
      <c r="F3798" s="559"/>
      <c r="G3798" s="558"/>
      <c r="H3798" s="559"/>
      <c r="I3798" s="559"/>
      <c r="J3798" s="559"/>
      <c r="K3798" s="560"/>
      <c r="L3798" s="560"/>
      <c r="M3798" s="560"/>
    </row>
    <row r="3799" spans="3:13" s="338" customFormat="1">
      <c r="C3799" s="558"/>
      <c r="D3799" s="559"/>
      <c r="E3799" s="559"/>
      <c r="F3799" s="559"/>
      <c r="G3799" s="558"/>
      <c r="H3799" s="559"/>
      <c r="I3799" s="559"/>
      <c r="J3799" s="559"/>
      <c r="K3799" s="560"/>
      <c r="L3799" s="560"/>
      <c r="M3799" s="560"/>
    </row>
    <row r="3800" spans="3:13" s="338" customFormat="1">
      <c r="C3800" s="558"/>
      <c r="D3800" s="559"/>
      <c r="E3800" s="559"/>
      <c r="F3800" s="559"/>
      <c r="G3800" s="558"/>
      <c r="H3800" s="559"/>
      <c r="I3800" s="559"/>
      <c r="J3800" s="559"/>
      <c r="K3800" s="560"/>
      <c r="L3800" s="560"/>
      <c r="M3800" s="560"/>
    </row>
    <row r="3801" spans="3:13" s="338" customFormat="1">
      <c r="C3801" s="558"/>
      <c r="D3801" s="559"/>
      <c r="E3801" s="559"/>
      <c r="F3801" s="559"/>
      <c r="G3801" s="558"/>
      <c r="H3801" s="559"/>
      <c r="I3801" s="559"/>
      <c r="J3801" s="559"/>
      <c r="K3801" s="560"/>
      <c r="L3801" s="560"/>
      <c r="M3801" s="560"/>
    </row>
    <row r="3802" spans="3:13" s="338" customFormat="1">
      <c r="C3802" s="558"/>
      <c r="D3802" s="559"/>
      <c r="E3802" s="559"/>
      <c r="F3802" s="559"/>
      <c r="G3802" s="558"/>
      <c r="H3802" s="559"/>
      <c r="I3802" s="559"/>
      <c r="J3802" s="559"/>
      <c r="K3802" s="560"/>
      <c r="L3802" s="560"/>
      <c r="M3802" s="560"/>
    </row>
    <row r="3803" spans="3:13" s="338" customFormat="1">
      <c r="C3803" s="558"/>
      <c r="D3803" s="559"/>
      <c r="E3803" s="559"/>
      <c r="F3803" s="559"/>
      <c r="G3803" s="558"/>
      <c r="H3803" s="559"/>
      <c r="I3803" s="559"/>
      <c r="J3803" s="559"/>
      <c r="K3803" s="560"/>
      <c r="L3803" s="560"/>
      <c r="M3803" s="560"/>
    </row>
    <row r="3804" spans="3:13" s="338" customFormat="1">
      <c r="C3804" s="558"/>
      <c r="D3804" s="559"/>
      <c r="E3804" s="559"/>
      <c r="F3804" s="559"/>
      <c r="G3804" s="558"/>
      <c r="H3804" s="559"/>
      <c r="I3804" s="559"/>
      <c r="J3804" s="559"/>
      <c r="K3804" s="560"/>
      <c r="L3804" s="560"/>
      <c r="M3804" s="560"/>
    </row>
    <row r="3805" spans="3:13" s="338" customFormat="1">
      <c r="C3805" s="558"/>
      <c r="D3805" s="559"/>
      <c r="E3805" s="559"/>
      <c r="F3805" s="559"/>
      <c r="G3805" s="558"/>
      <c r="H3805" s="559"/>
      <c r="I3805" s="559"/>
      <c r="J3805" s="559"/>
      <c r="K3805" s="560"/>
      <c r="L3805" s="560"/>
      <c r="M3805" s="560"/>
    </row>
    <row r="3806" spans="3:13" s="338" customFormat="1">
      <c r="C3806" s="558"/>
      <c r="D3806" s="559"/>
      <c r="E3806" s="559"/>
      <c r="F3806" s="559"/>
      <c r="G3806" s="558"/>
      <c r="H3806" s="559"/>
      <c r="I3806" s="559"/>
      <c r="J3806" s="559"/>
      <c r="K3806" s="560"/>
      <c r="L3806" s="560"/>
      <c r="M3806" s="560"/>
    </row>
    <row r="3807" spans="3:13" s="338" customFormat="1">
      <c r="C3807" s="558"/>
      <c r="D3807" s="559"/>
      <c r="E3807" s="559"/>
      <c r="F3807" s="559"/>
      <c r="G3807" s="558"/>
      <c r="H3807" s="559"/>
      <c r="I3807" s="559"/>
      <c r="J3807" s="559"/>
      <c r="K3807" s="560"/>
      <c r="L3807" s="560"/>
      <c r="M3807" s="560"/>
    </row>
    <row r="3808" spans="3:13" s="338" customFormat="1">
      <c r="C3808" s="558"/>
      <c r="D3808" s="559"/>
      <c r="E3808" s="559"/>
      <c r="F3808" s="559"/>
      <c r="G3808" s="558"/>
      <c r="H3808" s="559"/>
      <c r="I3808" s="559"/>
      <c r="J3808" s="559"/>
      <c r="K3808" s="560"/>
      <c r="L3808" s="560"/>
      <c r="M3808" s="560"/>
    </row>
    <row r="3809" spans="3:13" s="338" customFormat="1">
      <c r="C3809" s="558"/>
      <c r="D3809" s="559"/>
      <c r="E3809" s="559"/>
      <c r="F3809" s="559"/>
      <c r="G3809" s="558"/>
      <c r="H3809" s="559"/>
      <c r="I3809" s="559"/>
      <c r="J3809" s="559"/>
      <c r="K3809" s="560"/>
      <c r="L3809" s="560"/>
      <c r="M3809" s="560"/>
    </row>
    <row r="3810" spans="3:13" s="338" customFormat="1">
      <c r="C3810" s="558"/>
      <c r="D3810" s="559"/>
      <c r="E3810" s="559"/>
      <c r="F3810" s="559"/>
      <c r="G3810" s="558"/>
      <c r="H3810" s="559"/>
      <c r="I3810" s="559"/>
      <c r="J3810" s="559"/>
      <c r="K3810" s="560"/>
      <c r="L3810" s="560"/>
      <c r="M3810" s="560"/>
    </row>
    <row r="3811" spans="3:13" s="338" customFormat="1">
      <c r="C3811" s="558"/>
      <c r="D3811" s="559"/>
      <c r="E3811" s="559"/>
      <c r="F3811" s="559"/>
      <c r="G3811" s="558"/>
      <c r="H3811" s="559"/>
      <c r="I3811" s="559"/>
      <c r="J3811" s="559"/>
      <c r="K3811" s="560"/>
      <c r="L3811" s="560"/>
      <c r="M3811" s="560"/>
    </row>
    <row r="3812" spans="3:13" s="338" customFormat="1">
      <c r="C3812" s="558"/>
      <c r="D3812" s="559"/>
      <c r="E3812" s="559"/>
      <c r="F3812" s="559"/>
      <c r="G3812" s="558"/>
      <c r="H3812" s="559"/>
      <c r="I3812" s="559"/>
      <c r="J3812" s="559"/>
      <c r="K3812" s="560"/>
      <c r="L3812" s="560"/>
      <c r="M3812" s="560"/>
    </row>
    <row r="3813" spans="3:13" s="338" customFormat="1">
      <c r="C3813" s="558"/>
      <c r="D3813" s="559"/>
      <c r="E3813" s="559"/>
      <c r="F3813" s="559"/>
      <c r="G3813" s="558"/>
      <c r="H3813" s="559"/>
      <c r="I3813" s="559"/>
      <c r="J3813" s="559"/>
      <c r="K3813" s="560"/>
      <c r="L3813" s="560"/>
      <c r="M3813" s="560"/>
    </row>
    <row r="3814" spans="3:13" s="338" customFormat="1">
      <c r="C3814" s="558"/>
      <c r="D3814" s="559"/>
      <c r="E3814" s="559"/>
      <c r="F3814" s="559"/>
      <c r="G3814" s="558"/>
      <c r="H3814" s="559"/>
      <c r="I3814" s="559"/>
      <c r="J3814" s="559"/>
      <c r="K3814" s="560"/>
      <c r="L3814" s="560"/>
      <c r="M3814" s="560"/>
    </row>
    <row r="3815" spans="3:13" s="338" customFormat="1">
      <c r="C3815" s="558"/>
      <c r="D3815" s="559"/>
      <c r="E3815" s="559"/>
      <c r="F3815" s="559"/>
      <c r="G3815" s="558"/>
      <c r="H3815" s="559"/>
      <c r="I3815" s="559"/>
      <c r="J3815" s="559"/>
      <c r="K3815" s="560"/>
      <c r="L3815" s="560"/>
      <c r="M3815" s="560"/>
    </row>
    <row r="3816" spans="3:13" s="338" customFormat="1">
      <c r="C3816" s="558"/>
      <c r="D3816" s="559"/>
      <c r="E3816" s="559"/>
      <c r="F3816" s="559"/>
      <c r="G3816" s="558"/>
      <c r="H3816" s="559"/>
      <c r="I3816" s="559"/>
      <c r="J3816" s="559"/>
      <c r="K3816" s="560"/>
      <c r="L3816" s="560"/>
      <c r="M3816" s="560"/>
    </row>
    <row r="3817" spans="3:13" s="338" customFormat="1">
      <c r="C3817" s="558"/>
      <c r="D3817" s="559"/>
      <c r="E3817" s="559"/>
      <c r="F3817" s="559"/>
      <c r="G3817" s="558"/>
      <c r="H3817" s="559"/>
      <c r="I3817" s="559"/>
      <c r="J3817" s="559"/>
      <c r="K3817" s="560"/>
      <c r="L3817" s="560"/>
      <c r="M3817" s="560"/>
    </row>
    <row r="3818" spans="3:13" s="338" customFormat="1">
      <c r="C3818" s="558"/>
      <c r="D3818" s="559"/>
      <c r="E3818" s="559"/>
      <c r="F3818" s="559"/>
      <c r="G3818" s="558"/>
      <c r="H3818" s="559"/>
      <c r="I3818" s="559"/>
      <c r="J3818" s="559"/>
      <c r="K3818" s="560"/>
      <c r="L3818" s="560"/>
      <c r="M3818" s="560"/>
    </row>
    <row r="3819" spans="3:13" s="338" customFormat="1">
      <c r="C3819" s="558"/>
      <c r="D3819" s="559"/>
      <c r="E3819" s="559"/>
      <c r="F3819" s="559"/>
      <c r="G3819" s="558"/>
      <c r="H3819" s="559"/>
      <c r="I3819" s="559"/>
      <c r="J3819" s="559"/>
      <c r="K3819" s="560"/>
      <c r="L3819" s="560"/>
      <c r="M3819" s="560"/>
    </row>
    <row r="3820" spans="3:13" s="338" customFormat="1">
      <c r="C3820" s="558"/>
      <c r="D3820" s="559"/>
      <c r="E3820" s="559"/>
      <c r="F3820" s="559"/>
      <c r="G3820" s="558"/>
      <c r="H3820" s="559"/>
      <c r="I3820" s="559"/>
      <c r="J3820" s="559"/>
      <c r="K3820" s="560"/>
      <c r="L3820" s="560"/>
      <c r="M3820" s="560"/>
    </row>
    <row r="3821" spans="3:13" s="338" customFormat="1">
      <c r="C3821" s="558"/>
      <c r="D3821" s="559"/>
      <c r="E3821" s="559"/>
      <c r="F3821" s="559"/>
      <c r="G3821" s="558"/>
      <c r="H3821" s="559"/>
      <c r="I3821" s="559"/>
      <c r="J3821" s="559"/>
      <c r="K3821" s="560"/>
      <c r="L3821" s="560"/>
      <c r="M3821" s="560"/>
    </row>
    <row r="3822" spans="3:13" s="338" customFormat="1">
      <c r="C3822" s="558"/>
      <c r="D3822" s="559"/>
      <c r="E3822" s="559"/>
      <c r="F3822" s="559"/>
      <c r="G3822" s="558"/>
      <c r="H3822" s="559"/>
      <c r="I3822" s="559"/>
      <c r="J3822" s="559"/>
      <c r="K3822" s="560"/>
      <c r="L3822" s="560"/>
      <c r="M3822" s="560"/>
    </row>
    <row r="3823" spans="3:13" s="338" customFormat="1">
      <c r="C3823" s="558"/>
      <c r="D3823" s="559"/>
      <c r="E3823" s="559"/>
      <c r="F3823" s="559"/>
      <c r="G3823" s="558"/>
      <c r="H3823" s="559"/>
      <c r="I3823" s="559"/>
      <c r="J3823" s="559"/>
      <c r="K3823" s="560"/>
      <c r="L3823" s="560"/>
      <c r="M3823" s="560"/>
    </row>
    <row r="3824" spans="3:13" s="338" customFormat="1">
      <c r="C3824" s="558"/>
      <c r="D3824" s="559"/>
      <c r="E3824" s="559"/>
      <c r="F3824" s="559"/>
      <c r="G3824" s="558"/>
      <c r="H3824" s="559"/>
      <c r="I3824" s="559"/>
      <c r="J3824" s="559"/>
      <c r="K3824" s="560"/>
      <c r="L3824" s="560"/>
      <c r="M3824" s="560"/>
    </row>
    <row r="3825" spans="3:13" s="338" customFormat="1">
      <c r="C3825" s="558"/>
      <c r="D3825" s="559"/>
      <c r="E3825" s="559"/>
      <c r="F3825" s="559"/>
      <c r="G3825" s="558"/>
      <c r="H3825" s="559"/>
      <c r="I3825" s="559"/>
      <c r="J3825" s="559"/>
      <c r="K3825" s="560"/>
      <c r="L3825" s="560"/>
      <c r="M3825" s="560"/>
    </row>
    <row r="3826" spans="3:13" s="338" customFormat="1">
      <c r="C3826" s="558"/>
      <c r="D3826" s="559"/>
      <c r="E3826" s="559"/>
      <c r="F3826" s="559"/>
      <c r="G3826" s="558"/>
      <c r="H3826" s="559"/>
      <c r="I3826" s="559"/>
      <c r="J3826" s="559"/>
      <c r="K3826" s="560"/>
      <c r="L3826" s="560"/>
      <c r="M3826" s="560"/>
    </row>
    <row r="3827" spans="3:13" s="338" customFormat="1">
      <c r="C3827" s="558"/>
      <c r="D3827" s="559"/>
      <c r="E3827" s="559"/>
      <c r="F3827" s="559"/>
      <c r="G3827" s="558"/>
      <c r="H3827" s="559"/>
      <c r="I3827" s="559"/>
      <c r="J3827" s="559"/>
      <c r="K3827" s="560"/>
      <c r="L3827" s="560"/>
      <c r="M3827" s="560"/>
    </row>
    <row r="3828" spans="3:13" s="338" customFormat="1">
      <c r="C3828" s="558"/>
      <c r="D3828" s="559"/>
      <c r="E3828" s="559"/>
      <c r="F3828" s="559"/>
      <c r="G3828" s="558"/>
      <c r="H3828" s="559"/>
      <c r="I3828" s="559"/>
      <c r="J3828" s="559"/>
      <c r="K3828" s="560"/>
      <c r="L3828" s="560"/>
      <c r="M3828" s="560"/>
    </row>
    <row r="3829" spans="3:13" s="338" customFormat="1">
      <c r="C3829" s="558"/>
      <c r="D3829" s="559"/>
      <c r="E3829" s="559"/>
      <c r="F3829" s="559"/>
      <c r="G3829" s="558"/>
      <c r="H3829" s="559"/>
      <c r="I3829" s="559"/>
      <c r="J3829" s="559"/>
      <c r="K3829" s="560"/>
      <c r="L3829" s="560"/>
      <c r="M3829" s="560"/>
    </row>
    <row r="3830" spans="3:13" s="338" customFormat="1">
      <c r="C3830" s="558"/>
      <c r="D3830" s="559"/>
      <c r="E3830" s="559"/>
      <c r="F3830" s="559"/>
      <c r="G3830" s="558"/>
      <c r="H3830" s="559"/>
      <c r="I3830" s="559"/>
      <c r="J3830" s="559"/>
      <c r="K3830" s="560"/>
      <c r="L3830" s="560"/>
      <c r="M3830" s="560"/>
    </row>
    <row r="3831" spans="3:13" s="338" customFormat="1">
      <c r="C3831" s="558"/>
      <c r="D3831" s="559"/>
      <c r="E3831" s="559"/>
      <c r="F3831" s="559"/>
      <c r="G3831" s="558"/>
      <c r="H3831" s="559"/>
      <c r="I3831" s="559"/>
      <c r="J3831" s="559"/>
      <c r="K3831" s="560"/>
      <c r="L3831" s="560"/>
      <c r="M3831" s="560"/>
    </row>
    <row r="3832" spans="3:13" s="338" customFormat="1">
      <c r="C3832" s="558"/>
      <c r="D3832" s="559"/>
      <c r="E3832" s="559"/>
      <c r="F3832" s="559"/>
      <c r="G3832" s="558"/>
      <c r="H3832" s="559"/>
      <c r="I3832" s="559"/>
      <c r="J3832" s="559"/>
      <c r="K3832" s="560"/>
      <c r="L3832" s="560"/>
      <c r="M3832" s="560"/>
    </row>
    <row r="3833" spans="3:13" s="338" customFormat="1">
      <c r="C3833" s="558"/>
      <c r="D3833" s="559"/>
      <c r="E3833" s="559"/>
      <c r="F3833" s="559"/>
      <c r="G3833" s="558"/>
      <c r="H3833" s="559"/>
      <c r="I3833" s="559"/>
      <c r="J3833" s="559"/>
      <c r="K3833" s="560"/>
      <c r="L3833" s="560"/>
      <c r="M3833" s="560"/>
    </row>
    <row r="3834" spans="3:13" s="338" customFormat="1">
      <c r="C3834" s="558"/>
      <c r="D3834" s="559"/>
      <c r="E3834" s="559"/>
      <c r="F3834" s="559"/>
      <c r="G3834" s="558"/>
      <c r="H3834" s="559"/>
      <c r="I3834" s="559"/>
      <c r="J3834" s="559"/>
      <c r="K3834" s="560"/>
      <c r="L3834" s="560"/>
      <c r="M3834" s="560"/>
    </row>
    <row r="3835" spans="3:13" s="338" customFormat="1">
      <c r="C3835" s="558"/>
      <c r="D3835" s="559"/>
      <c r="E3835" s="559"/>
      <c r="F3835" s="559"/>
      <c r="G3835" s="558"/>
      <c r="H3835" s="559"/>
      <c r="I3835" s="559"/>
      <c r="J3835" s="559"/>
      <c r="K3835" s="560"/>
      <c r="L3835" s="560"/>
      <c r="M3835" s="560"/>
    </row>
    <row r="3836" spans="3:13" s="338" customFormat="1">
      <c r="C3836" s="558"/>
      <c r="D3836" s="559"/>
      <c r="E3836" s="559"/>
      <c r="F3836" s="559"/>
      <c r="G3836" s="558"/>
      <c r="H3836" s="559"/>
      <c r="I3836" s="559"/>
      <c r="J3836" s="559"/>
      <c r="K3836" s="560"/>
      <c r="L3836" s="560"/>
      <c r="M3836" s="560"/>
    </row>
    <row r="3837" spans="3:13" s="338" customFormat="1">
      <c r="C3837" s="558"/>
      <c r="D3837" s="559"/>
      <c r="E3837" s="559"/>
      <c r="F3837" s="559"/>
      <c r="G3837" s="558"/>
      <c r="H3837" s="559"/>
      <c r="I3837" s="559"/>
      <c r="J3837" s="559"/>
      <c r="K3837" s="560"/>
      <c r="L3837" s="560"/>
      <c r="M3837" s="560"/>
    </row>
    <row r="3838" spans="3:13" s="338" customFormat="1">
      <c r="C3838" s="558"/>
      <c r="D3838" s="559"/>
      <c r="E3838" s="559"/>
      <c r="F3838" s="559"/>
      <c r="G3838" s="558"/>
      <c r="H3838" s="559"/>
      <c r="I3838" s="559"/>
      <c r="J3838" s="559"/>
      <c r="K3838" s="560"/>
      <c r="L3838" s="560"/>
      <c r="M3838" s="560"/>
    </row>
    <row r="3839" spans="3:13" s="338" customFormat="1">
      <c r="C3839" s="558"/>
      <c r="D3839" s="559"/>
      <c r="E3839" s="559"/>
      <c r="F3839" s="559"/>
      <c r="G3839" s="558"/>
      <c r="H3839" s="559"/>
      <c r="I3839" s="559"/>
      <c r="J3839" s="559"/>
      <c r="K3839" s="560"/>
      <c r="L3839" s="560"/>
      <c r="M3839" s="560"/>
    </row>
    <row r="3840" spans="3:13" s="338" customFormat="1">
      <c r="C3840" s="558"/>
      <c r="D3840" s="559"/>
      <c r="E3840" s="559"/>
      <c r="F3840" s="559"/>
      <c r="G3840" s="558"/>
      <c r="H3840" s="559"/>
      <c r="I3840" s="559"/>
      <c r="J3840" s="559"/>
      <c r="K3840" s="560"/>
      <c r="L3840" s="560"/>
      <c r="M3840" s="560"/>
    </row>
    <row r="3841" spans="3:13" s="338" customFormat="1">
      <c r="C3841" s="558"/>
      <c r="D3841" s="559"/>
      <c r="E3841" s="559"/>
      <c r="F3841" s="559"/>
      <c r="G3841" s="558"/>
      <c r="H3841" s="559"/>
      <c r="I3841" s="559"/>
      <c r="J3841" s="559"/>
      <c r="K3841" s="560"/>
      <c r="L3841" s="560"/>
      <c r="M3841" s="560"/>
    </row>
    <row r="3842" spans="3:13" s="338" customFormat="1">
      <c r="C3842" s="558"/>
      <c r="D3842" s="559"/>
      <c r="E3842" s="559"/>
      <c r="F3842" s="559"/>
      <c r="G3842" s="558"/>
      <c r="H3842" s="559"/>
      <c r="I3842" s="559"/>
      <c r="J3842" s="559"/>
      <c r="K3842" s="560"/>
      <c r="L3842" s="560"/>
      <c r="M3842" s="560"/>
    </row>
    <row r="3843" spans="3:13" s="338" customFormat="1">
      <c r="C3843" s="558"/>
      <c r="D3843" s="559"/>
      <c r="E3843" s="559"/>
      <c r="F3843" s="559"/>
      <c r="G3843" s="558"/>
      <c r="H3843" s="559"/>
      <c r="I3843" s="559"/>
      <c r="J3843" s="559"/>
      <c r="K3843" s="560"/>
      <c r="L3843" s="560"/>
      <c r="M3843" s="560"/>
    </row>
    <row r="3844" spans="3:13" s="338" customFormat="1">
      <c r="C3844" s="558"/>
      <c r="D3844" s="559"/>
      <c r="E3844" s="559"/>
      <c r="F3844" s="559"/>
      <c r="G3844" s="558"/>
      <c r="H3844" s="559"/>
      <c r="I3844" s="559"/>
      <c r="J3844" s="559"/>
      <c r="K3844" s="560"/>
      <c r="L3844" s="560"/>
      <c r="M3844" s="560"/>
    </row>
    <row r="3845" spans="3:13" s="338" customFormat="1">
      <c r="C3845" s="558"/>
      <c r="D3845" s="559"/>
      <c r="E3845" s="559"/>
      <c r="F3845" s="559"/>
      <c r="G3845" s="558"/>
      <c r="H3845" s="559"/>
      <c r="I3845" s="559"/>
      <c r="J3845" s="559"/>
      <c r="K3845" s="560"/>
      <c r="L3845" s="560"/>
      <c r="M3845" s="560"/>
    </row>
    <row r="3846" spans="3:13" s="338" customFormat="1">
      <c r="C3846" s="558"/>
      <c r="D3846" s="559"/>
      <c r="E3846" s="559"/>
      <c r="F3846" s="559"/>
      <c r="G3846" s="558"/>
      <c r="H3846" s="559"/>
      <c r="I3846" s="559"/>
      <c r="J3846" s="559"/>
      <c r="K3846" s="560"/>
      <c r="L3846" s="560"/>
      <c r="M3846" s="560"/>
    </row>
    <row r="3847" spans="3:13" s="338" customFormat="1">
      <c r="C3847" s="558"/>
      <c r="D3847" s="559"/>
      <c r="E3847" s="559"/>
      <c r="F3847" s="559"/>
      <c r="G3847" s="558"/>
      <c r="H3847" s="559"/>
      <c r="I3847" s="559"/>
      <c r="J3847" s="559"/>
      <c r="K3847" s="560"/>
      <c r="L3847" s="560"/>
      <c r="M3847" s="560"/>
    </row>
    <row r="3848" spans="3:13" s="338" customFormat="1">
      <c r="C3848" s="558"/>
      <c r="D3848" s="559"/>
      <c r="E3848" s="559"/>
      <c r="F3848" s="559"/>
      <c r="G3848" s="558"/>
      <c r="H3848" s="559"/>
      <c r="I3848" s="559"/>
      <c r="J3848" s="559"/>
      <c r="K3848" s="560"/>
      <c r="L3848" s="560"/>
      <c r="M3848" s="560"/>
    </row>
    <row r="3849" spans="3:13" s="338" customFormat="1">
      <c r="C3849" s="558"/>
      <c r="D3849" s="559"/>
      <c r="E3849" s="559"/>
      <c r="F3849" s="559"/>
      <c r="G3849" s="558"/>
      <c r="H3849" s="559"/>
      <c r="I3849" s="559"/>
      <c r="J3849" s="559"/>
      <c r="K3849" s="560"/>
      <c r="L3849" s="560"/>
      <c r="M3849" s="560"/>
    </row>
    <row r="3850" spans="3:13" s="338" customFormat="1">
      <c r="C3850" s="558"/>
      <c r="D3850" s="559"/>
      <c r="E3850" s="559"/>
      <c r="F3850" s="559"/>
      <c r="G3850" s="558"/>
      <c r="H3850" s="559"/>
      <c r="I3850" s="559"/>
      <c r="J3850" s="559"/>
      <c r="K3850" s="560"/>
      <c r="L3850" s="560"/>
      <c r="M3850" s="560"/>
    </row>
    <row r="3851" spans="3:13" s="338" customFormat="1">
      <c r="C3851" s="558"/>
      <c r="D3851" s="559"/>
      <c r="E3851" s="559"/>
      <c r="F3851" s="559"/>
      <c r="G3851" s="558"/>
      <c r="H3851" s="559"/>
      <c r="I3851" s="559"/>
      <c r="J3851" s="559"/>
      <c r="K3851" s="560"/>
      <c r="L3851" s="560"/>
      <c r="M3851" s="560"/>
    </row>
    <row r="3852" spans="3:13" s="338" customFormat="1">
      <c r="C3852" s="558"/>
      <c r="D3852" s="559"/>
      <c r="E3852" s="559"/>
      <c r="F3852" s="559"/>
      <c r="G3852" s="558"/>
      <c r="H3852" s="559"/>
      <c r="I3852" s="559"/>
      <c r="J3852" s="559"/>
      <c r="K3852" s="560"/>
      <c r="L3852" s="560"/>
      <c r="M3852" s="560"/>
    </row>
    <row r="3853" spans="3:13" s="338" customFormat="1">
      <c r="C3853" s="558"/>
      <c r="D3853" s="559"/>
      <c r="E3853" s="559"/>
      <c r="F3853" s="559"/>
      <c r="G3853" s="558"/>
      <c r="H3853" s="559"/>
      <c r="I3853" s="559"/>
      <c r="J3853" s="559"/>
      <c r="K3853" s="560"/>
      <c r="L3853" s="560"/>
      <c r="M3853" s="560"/>
    </row>
    <row r="3854" spans="3:13" s="338" customFormat="1">
      <c r="C3854" s="558"/>
      <c r="D3854" s="559"/>
      <c r="E3854" s="559"/>
      <c r="F3854" s="559"/>
      <c r="G3854" s="558"/>
      <c r="H3854" s="559"/>
      <c r="I3854" s="559"/>
      <c r="J3854" s="559"/>
      <c r="K3854" s="560"/>
      <c r="L3854" s="560"/>
      <c r="M3854" s="560"/>
    </row>
    <row r="3855" spans="3:13" s="338" customFormat="1">
      <c r="C3855" s="558"/>
      <c r="D3855" s="559"/>
      <c r="E3855" s="559"/>
      <c r="F3855" s="559"/>
      <c r="G3855" s="558"/>
      <c r="H3855" s="559"/>
      <c r="I3855" s="559"/>
      <c r="J3855" s="559"/>
      <c r="K3855" s="560"/>
      <c r="L3855" s="560"/>
      <c r="M3855" s="560"/>
    </row>
    <row r="3856" spans="3:13" s="338" customFormat="1">
      <c r="C3856" s="558"/>
      <c r="D3856" s="559"/>
      <c r="E3856" s="559"/>
      <c r="F3856" s="559"/>
      <c r="G3856" s="558"/>
      <c r="H3856" s="559"/>
      <c r="I3856" s="559"/>
      <c r="J3856" s="559"/>
      <c r="K3856" s="560"/>
      <c r="L3856" s="560"/>
      <c r="M3856" s="560"/>
    </row>
    <row r="3857" spans="3:13" s="338" customFormat="1">
      <c r="C3857" s="558"/>
      <c r="D3857" s="559"/>
      <c r="E3857" s="559"/>
      <c r="F3857" s="559"/>
      <c r="G3857" s="558"/>
      <c r="H3857" s="559"/>
      <c r="I3857" s="559"/>
      <c r="J3857" s="559"/>
      <c r="K3857" s="560"/>
      <c r="L3857" s="560"/>
      <c r="M3857" s="560"/>
    </row>
    <row r="3858" spans="3:13" s="338" customFormat="1">
      <c r="C3858" s="558"/>
      <c r="D3858" s="559"/>
      <c r="E3858" s="559"/>
      <c r="F3858" s="559"/>
      <c r="G3858" s="558"/>
      <c r="H3858" s="559"/>
      <c r="I3858" s="559"/>
      <c r="J3858" s="559"/>
      <c r="K3858" s="560"/>
      <c r="L3858" s="560"/>
      <c r="M3858" s="560"/>
    </row>
    <row r="3859" spans="3:13" s="338" customFormat="1">
      <c r="C3859" s="558"/>
      <c r="D3859" s="559"/>
      <c r="E3859" s="559"/>
      <c r="F3859" s="559"/>
      <c r="G3859" s="558"/>
      <c r="H3859" s="559"/>
      <c r="I3859" s="559"/>
      <c r="J3859" s="559"/>
      <c r="K3859" s="560"/>
      <c r="L3859" s="560"/>
      <c r="M3859" s="560"/>
    </row>
    <row r="3860" spans="3:13" s="338" customFormat="1">
      <c r="C3860" s="558"/>
      <c r="D3860" s="559"/>
      <c r="E3860" s="559"/>
      <c r="F3860" s="559"/>
      <c r="G3860" s="558"/>
      <c r="H3860" s="559"/>
      <c r="I3860" s="559"/>
      <c r="J3860" s="559"/>
      <c r="K3860" s="560"/>
      <c r="L3860" s="560"/>
      <c r="M3860" s="560"/>
    </row>
    <row r="3861" spans="3:13" s="338" customFormat="1">
      <c r="C3861" s="558"/>
      <c r="D3861" s="559"/>
      <c r="E3861" s="559"/>
      <c r="F3861" s="559"/>
      <c r="G3861" s="558"/>
      <c r="H3861" s="559"/>
      <c r="I3861" s="559"/>
      <c r="J3861" s="559"/>
      <c r="K3861" s="560"/>
      <c r="L3861" s="560"/>
      <c r="M3861" s="560"/>
    </row>
    <row r="3862" spans="3:13" s="338" customFormat="1">
      <c r="C3862" s="558"/>
      <c r="D3862" s="559"/>
      <c r="E3862" s="559"/>
      <c r="F3862" s="559"/>
      <c r="G3862" s="558"/>
      <c r="H3862" s="559"/>
      <c r="I3862" s="559"/>
      <c r="J3862" s="559"/>
      <c r="K3862" s="560"/>
      <c r="L3862" s="560"/>
      <c r="M3862" s="560"/>
    </row>
    <row r="3863" spans="3:13" s="338" customFormat="1">
      <c r="C3863" s="558"/>
      <c r="D3863" s="559"/>
      <c r="E3863" s="559"/>
      <c r="F3863" s="559"/>
      <c r="G3863" s="558"/>
      <c r="H3863" s="559"/>
      <c r="I3863" s="559"/>
      <c r="J3863" s="559"/>
      <c r="K3863" s="560"/>
      <c r="L3863" s="560"/>
      <c r="M3863" s="560"/>
    </row>
    <row r="3864" spans="3:13" s="338" customFormat="1">
      <c r="C3864" s="558"/>
      <c r="D3864" s="559"/>
      <c r="E3864" s="559"/>
      <c r="F3864" s="559"/>
      <c r="G3864" s="558"/>
      <c r="H3864" s="559"/>
      <c r="I3864" s="559"/>
      <c r="J3864" s="559"/>
      <c r="K3864" s="560"/>
      <c r="L3864" s="560"/>
      <c r="M3864" s="560"/>
    </row>
    <row r="3865" spans="3:13" s="338" customFormat="1">
      <c r="C3865" s="558"/>
      <c r="D3865" s="559"/>
      <c r="E3865" s="559"/>
      <c r="F3865" s="559"/>
      <c r="G3865" s="558"/>
      <c r="H3865" s="559"/>
      <c r="I3865" s="559"/>
      <c r="J3865" s="559"/>
      <c r="K3865" s="560"/>
      <c r="L3865" s="560"/>
      <c r="M3865" s="560"/>
    </row>
    <row r="3866" spans="3:13" s="338" customFormat="1">
      <c r="C3866" s="558"/>
      <c r="D3866" s="559"/>
      <c r="E3866" s="559"/>
      <c r="F3866" s="559"/>
      <c r="G3866" s="558"/>
      <c r="H3866" s="559"/>
      <c r="I3866" s="559"/>
      <c r="J3866" s="559"/>
      <c r="K3866" s="560"/>
      <c r="L3866" s="560"/>
      <c r="M3866" s="560"/>
    </row>
    <row r="3867" spans="3:13" s="338" customFormat="1">
      <c r="C3867" s="558"/>
      <c r="D3867" s="559"/>
      <c r="E3867" s="559"/>
      <c r="F3867" s="559"/>
      <c r="G3867" s="558"/>
      <c r="H3867" s="559"/>
      <c r="I3867" s="559"/>
      <c r="J3867" s="559"/>
      <c r="K3867" s="560"/>
      <c r="L3867" s="560"/>
      <c r="M3867" s="560"/>
    </row>
    <row r="3868" spans="3:13" s="338" customFormat="1">
      <c r="C3868" s="558"/>
      <c r="D3868" s="559"/>
      <c r="E3868" s="559"/>
      <c r="F3868" s="559"/>
      <c r="G3868" s="558"/>
      <c r="H3868" s="559"/>
      <c r="I3868" s="559"/>
      <c r="J3868" s="559"/>
      <c r="K3868" s="560"/>
      <c r="L3868" s="560"/>
      <c r="M3868" s="560"/>
    </row>
    <row r="3869" spans="3:13" s="338" customFormat="1">
      <c r="C3869" s="558"/>
      <c r="D3869" s="559"/>
      <c r="E3869" s="559"/>
      <c r="F3869" s="559"/>
      <c r="G3869" s="558"/>
      <c r="H3869" s="559"/>
      <c r="I3869" s="559"/>
      <c r="J3869" s="559"/>
      <c r="K3869" s="560"/>
      <c r="L3869" s="560"/>
      <c r="M3869" s="560"/>
    </row>
    <row r="3870" spans="3:13" s="338" customFormat="1">
      <c r="C3870" s="558"/>
      <c r="D3870" s="559"/>
      <c r="E3870" s="559"/>
      <c r="F3870" s="559"/>
      <c r="G3870" s="558"/>
      <c r="H3870" s="559"/>
      <c r="I3870" s="559"/>
      <c r="J3870" s="559"/>
      <c r="K3870" s="560"/>
      <c r="L3870" s="560"/>
      <c r="M3870" s="560"/>
    </row>
    <row r="3871" spans="3:13" s="338" customFormat="1">
      <c r="C3871" s="558"/>
      <c r="D3871" s="559"/>
      <c r="E3871" s="559"/>
      <c r="F3871" s="559"/>
      <c r="G3871" s="558"/>
      <c r="H3871" s="559"/>
      <c r="I3871" s="559"/>
      <c r="J3871" s="559"/>
      <c r="K3871" s="560"/>
      <c r="L3871" s="560"/>
      <c r="M3871" s="560"/>
    </row>
    <row r="3872" spans="3:13" s="338" customFormat="1">
      <c r="C3872" s="558"/>
      <c r="D3872" s="559"/>
      <c r="E3872" s="559"/>
      <c r="F3872" s="559"/>
      <c r="G3872" s="558"/>
      <c r="H3872" s="559"/>
      <c r="I3872" s="559"/>
      <c r="J3872" s="559"/>
      <c r="K3872" s="560"/>
      <c r="L3872" s="560"/>
      <c r="M3872" s="560"/>
    </row>
    <row r="3873" spans="3:13" s="338" customFormat="1">
      <c r="C3873" s="558"/>
      <c r="D3873" s="559"/>
      <c r="E3873" s="559"/>
      <c r="F3873" s="559"/>
      <c r="G3873" s="558"/>
      <c r="H3873" s="559"/>
      <c r="I3873" s="559"/>
      <c r="J3873" s="559"/>
      <c r="K3873" s="560"/>
      <c r="L3873" s="560"/>
      <c r="M3873" s="560"/>
    </row>
    <row r="3874" spans="3:13" s="338" customFormat="1">
      <c r="C3874" s="558"/>
      <c r="D3874" s="559"/>
      <c r="E3874" s="559"/>
      <c r="F3874" s="559"/>
      <c r="G3874" s="558"/>
      <c r="H3874" s="559"/>
      <c r="I3874" s="559"/>
      <c r="J3874" s="559"/>
      <c r="K3874" s="560"/>
      <c r="L3874" s="560"/>
      <c r="M3874" s="560"/>
    </row>
    <row r="3875" spans="3:13" s="338" customFormat="1">
      <c r="C3875" s="558"/>
      <c r="D3875" s="559"/>
      <c r="E3875" s="559"/>
      <c r="F3875" s="559"/>
      <c r="G3875" s="558"/>
      <c r="H3875" s="559"/>
      <c r="I3875" s="559"/>
      <c r="J3875" s="559"/>
      <c r="K3875" s="560"/>
      <c r="L3875" s="560"/>
      <c r="M3875" s="560"/>
    </row>
    <row r="3876" spans="3:13" s="338" customFormat="1">
      <c r="C3876" s="558"/>
      <c r="D3876" s="559"/>
      <c r="E3876" s="559"/>
      <c r="F3876" s="559"/>
      <c r="G3876" s="558"/>
      <c r="H3876" s="559"/>
      <c r="I3876" s="559"/>
      <c r="J3876" s="559"/>
      <c r="K3876" s="560"/>
      <c r="L3876" s="560"/>
      <c r="M3876" s="560"/>
    </row>
    <row r="3877" spans="3:13" s="338" customFormat="1">
      <c r="C3877" s="558"/>
      <c r="D3877" s="559"/>
      <c r="E3877" s="559"/>
      <c r="F3877" s="559"/>
      <c r="G3877" s="558"/>
      <c r="H3877" s="559"/>
      <c r="I3877" s="559"/>
      <c r="J3877" s="559"/>
      <c r="K3877" s="560"/>
      <c r="L3877" s="560"/>
      <c r="M3877" s="560"/>
    </row>
    <row r="3878" spans="3:13" s="338" customFormat="1">
      <c r="C3878" s="558"/>
      <c r="D3878" s="559"/>
      <c r="E3878" s="559"/>
      <c r="F3878" s="559"/>
      <c r="G3878" s="558"/>
      <c r="H3878" s="559"/>
      <c r="I3878" s="559"/>
      <c r="J3878" s="559"/>
      <c r="K3878" s="560"/>
      <c r="L3878" s="560"/>
      <c r="M3878" s="560"/>
    </row>
    <row r="3879" spans="3:13" s="338" customFormat="1">
      <c r="C3879" s="558"/>
      <c r="D3879" s="559"/>
      <c r="E3879" s="559"/>
      <c r="F3879" s="559"/>
      <c r="G3879" s="558"/>
      <c r="H3879" s="559"/>
      <c r="I3879" s="559"/>
      <c r="J3879" s="559"/>
      <c r="K3879" s="560"/>
      <c r="L3879" s="560"/>
      <c r="M3879" s="560"/>
    </row>
    <row r="3880" spans="3:13" s="338" customFormat="1">
      <c r="C3880" s="558"/>
      <c r="D3880" s="559"/>
      <c r="E3880" s="559"/>
      <c r="F3880" s="559"/>
      <c r="G3880" s="558"/>
      <c r="H3880" s="559"/>
      <c r="I3880" s="559"/>
      <c r="J3880" s="559"/>
      <c r="K3880" s="560"/>
      <c r="L3880" s="560"/>
      <c r="M3880" s="560"/>
    </row>
    <row r="3881" spans="3:13" s="338" customFormat="1">
      <c r="C3881" s="558"/>
      <c r="D3881" s="559"/>
      <c r="E3881" s="559"/>
      <c r="F3881" s="559"/>
      <c r="G3881" s="558"/>
      <c r="H3881" s="559"/>
      <c r="I3881" s="559"/>
      <c r="J3881" s="559"/>
      <c r="K3881" s="560"/>
      <c r="L3881" s="560"/>
      <c r="M3881" s="560"/>
    </row>
    <row r="3882" spans="3:13" s="338" customFormat="1">
      <c r="C3882" s="558"/>
      <c r="D3882" s="559"/>
      <c r="E3882" s="559"/>
      <c r="F3882" s="559"/>
      <c r="G3882" s="558"/>
      <c r="H3882" s="559"/>
      <c r="I3882" s="559"/>
      <c r="J3882" s="559"/>
      <c r="K3882" s="560"/>
      <c r="L3882" s="560"/>
      <c r="M3882" s="560"/>
    </row>
    <row r="3883" spans="3:13" s="338" customFormat="1">
      <c r="C3883" s="558"/>
      <c r="D3883" s="559"/>
      <c r="E3883" s="559"/>
      <c r="F3883" s="559"/>
      <c r="G3883" s="558"/>
      <c r="H3883" s="559"/>
      <c r="I3883" s="559"/>
      <c r="J3883" s="559"/>
      <c r="K3883" s="560"/>
      <c r="L3883" s="560"/>
      <c r="M3883" s="560"/>
    </row>
    <row r="3884" spans="3:13" s="338" customFormat="1">
      <c r="C3884" s="558"/>
      <c r="D3884" s="559"/>
      <c r="E3884" s="559"/>
      <c r="F3884" s="559"/>
      <c r="G3884" s="558"/>
      <c r="H3884" s="559"/>
      <c r="I3884" s="559"/>
      <c r="J3884" s="559"/>
      <c r="K3884" s="560"/>
      <c r="L3884" s="560"/>
      <c r="M3884" s="560"/>
    </row>
    <row r="3885" spans="3:13" s="338" customFormat="1">
      <c r="C3885" s="558"/>
      <c r="D3885" s="559"/>
      <c r="E3885" s="559"/>
      <c r="F3885" s="559"/>
      <c r="G3885" s="558"/>
      <c r="H3885" s="559"/>
      <c r="I3885" s="559"/>
      <c r="J3885" s="559"/>
      <c r="K3885" s="560"/>
      <c r="L3885" s="560"/>
      <c r="M3885" s="560"/>
    </row>
    <row r="3886" spans="3:13" s="338" customFormat="1">
      <c r="C3886" s="558"/>
      <c r="D3886" s="559"/>
      <c r="E3886" s="559"/>
      <c r="F3886" s="559"/>
      <c r="G3886" s="558"/>
      <c r="H3886" s="559"/>
      <c r="I3886" s="559"/>
      <c r="J3886" s="559"/>
      <c r="K3886" s="560"/>
      <c r="L3886" s="560"/>
      <c r="M3886" s="560"/>
    </row>
    <row r="3887" spans="3:13" s="338" customFormat="1">
      <c r="C3887" s="558"/>
      <c r="D3887" s="559"/>
      <c r="E3887" s="559"/>
      <c r="F3887" s="559"/>
      <c r="G3887" s="558"/>
      <c r="H3887" s="559"/>
      <c r="I3887" s="559"/>
      <c r="J3887" s="559"/>
      <c r="K3887" s="560"/>
      <c r="L3887" s="560"/>
      <c r="M3887" s="560"/>
    </row>
    <row r="3888" spans="3:13" s="338" customFormat="1">
      <c r="C3888" s="558"/>
      <c r="D3888" s="559"/>
      <c r="E3888" s="559"/>
      <c r="F3888" s="559"/>
      <c r="G3888" s="558"/>
      <c r="H3888" s="559"/>
      <c r="I3888" s="559"/>
      <c r="J3888" s="559"/>
      <c r="K3888" s="560"/>
      <c r="L3888" s="560"/>
      <c r="M3888" s="560"/>
    </row>
    <row r="3889" spans="3:13" s="338" customFormat="1">
      <c r="C3889" s="558"/>
      <c r="D3889" s="559"/>
      <c r="E3889" s="559"/>
      <c r="F3889" s="559"/>
      <c r="G3889" s="558"/>
      <c r="H3889" s="559"/>
      <c r="I3889" s="559"/>
      <c r="J3889" s="559"/>
      <c r="K3889" s="560"/>
      <c r="L3889" s="560"/>
      <c r="M3889" s="560"/>
    </row>
    <row r="3890" spans="3:13" s="338" customFormat="1">
      <c r="C3890" s="558"/>
      <c r="D3890" s="559"/>
      <c r="E3890" s="559"/>
      <c r="F3890" s="559"/>
      <c r="G3890" s="558"/>
      <c r="H3890" s="559"/>
      <c r="I3890" s="559"/>
      <c r="J3890" s="559"/>
      <c r="K3890" s="560"/>
      <c r="L3890" s="560"/>
      <c r="M3890" s="560"/>
    </row>
    <row r="3891" spans="3:13" s="338" customFormat="1">
      <c r="C3891" s="558"/>
      <c r="D3891" s="559"/>
      <c r="E3891" s="559"/>
      <c r="F3891" s="559"/>
      <c r="G3891" s="558"/>
      <c r="H3891" s="559"/>
      <c r="I3891" s="559"/>
      <c r="J3891" s="559"/>
      <c r="K3891" s="560"/>
      <c r="L3891" s="560"/>
      <c r="M3891" s="560"/>
    </row>
    <row r="3892" spans="3:13" s="338" customFormat="1">
      <c r="C3892" s="558"/>
      <c r="D3892" s="559"/>
      <c r="E3892" s="559"/>
      <c r="F3892" s="559"/>
      <c r="G3892" s="558"/>
      <c r="H3892" s="559"/>
      <c r="I3892" s="559"/>
      <c r="J3892" s="559"/>
      <c r="K3892" s="560"/>
      <c r="L3892" s="560"/>
      <c r="M3892" s="560"/>
    </row>
    <row r="3893" spans="3:13" s="338" customFormat="1">
      <c r="C3893" s="558"/>
      <c r="D3893" s="559"/>
      <c r="E3893" s="559"/>
      <c r="F3893" s="559"/>
      <c r="G3893" s="558"/>
      <c r="H3893" s="559"/>
      <c r="I3893" s="559"/>
      <c r="J3893" s="559"/>
      <c r="K3893" s="560"/>
      <c r="L3893" s="560"/>
      <c r="M3893" s="560"/>
    </row>
    <row r="3894" spans="3:13" s="338" customFormat="1">
      <c r="C3894" s="558"/>
      <c r="D3894" s="559"/>
      <c r="E3894" s="559"/>
      <c r="F3894" s="559"/>
      <c r="G3894" s="558"/>
      <c r="H3894" s="559"/>
      <c r="I3894" s="559"/>
      <c r="J3894" s="559"/>
      <c r="K3894" s="560"/>
      <c r="L3894" s="560"/>
      <c r="M3894" s="560"/>
    </row>
    <row r="3895" spans="3:13" s="338" customFormat="1">
      <c r="C3895" s="558"/>
      <c r="D3895" s="559"/>
      <c r="E3895" s="559"/>
      <c r="F3895" s="559"/>
      <c r="G3895" s="558"/>
      <c r="H3895" s="559"/>
      <c r="I3895" s="559"/>
      <c r="J3895" s="559"/>
      <c r="K3895" s="560"/>
      <c r="L3895" s="560"/>
      <c r="M3895" s="560"/>
    </row>
    <row r="3896" spans="3:13" s="338" customFormat="1">
      <c r="C3896" s="558"/>
      <c r="D3896" s="559"/>
      <c r="E3896" s="559"/>
      <c r="F3896" s="559"/>
      <c r="G3896" s="558"/>
      <c r="H3896" s="559"/>
      <c r="I3896" s="559"/>
      <c r="J3896" s="559"/>
      <c r="K3896" s="560"/>
      <c r="L3896" s="560"/>
      <c r="M3896" s="560"/>
    </row>
    <row r="3897" spans="3:13" s="338" customFormat="1">
      <c r="C3897" s="558"/>
      <c r="D3897" s="559"/>
      <c r="E3897" s="559"/>
      <c r="F3897" s="559"/>
      <c r="G3897" s="558"/>
      <c r="H3897" s="559"/>
      <c r="I3897" s="559"/>
      <c r="J3897" s="559"/>
      <c r="K3897" s="560"/>
      <c r="L3897" s="560"/>
      <c r="M3897" s="560"/>
    </row>
    <row r="3898" spans="3:13" s="338" customFormat="1">
      <c r="C3898" s="558"/>
      <c r="D3898" s="559"/>
      <c r="E3898" s="559"/>
      <c r="F3898" s="559"/>
      <c r="G3898" s="558"/>
      <c r="H3898" s="559"/>
      <c r="I3898" s="559"/>
      <c r="J3898" s="559"/>
      <c r="K3898" s="560"/>
      <c r="L3898" s="560"/>
      <c r="M3898" s="560"/>
    </row>
    <row r="3899" spans="3:13" s="338" customFormat="1">
      <c r="C3899" s="558"/>
      <c r="D3899" s="559"/>
      <c r="E3899" s="559"/>
      <c r="F3899" s="559"/>
      <c r="G3899" s="558"/>
      <c r="H3899" s="559"/>
      <c r="I3899" s="559"/>
      <c r="J3899" s="559"/>
      <c r="K3899" s="560"/>
      <c r="L3899" s="560"/>
      <c r="M3899" s="560"/>
    </row>
    <row r="3900" spans="3:13" s="338" customFormat="1">
      <c r="C3900" s="558"/>
      <c r="D3900" s="559"/>
      <c r="E3900" s="559"/>
      <c r="F3900" s="559"/>
      <c r="G3900" s="558"/>
      <c r="H3900" s="559"/>
      <c r="I3900" s="559"/>
      <c r="J3900" s="559"/>
      <c r="K3900" s="560"/>
      <c r="L3900" s="560"/>
      <c r="M3900" s="560"/>
    </row>
    <row r="3901" spans="3:13" s="338" customFormat="1">
      <c r="C3901" s="558"/>
      <c r="D3901" s="559"/>
      <c r="E3901" s="559"/>
      <c r="F3901" s="559"/>
      <c r="G3901" s="558"/>
      <c r="H3901" s="559"/>
      <c r="I3901" s="559"/>
      <c r="J3901" s="559"/>
      <c r="K3901" s="560"/>
      <c r="L3901" s="560"/>
      <c r="M3901" s="560"/>
    </row>
    <row r="3902" spans="3:13" s="338" customFormat="1">
      <c r="C3902" s="558"/>
      <c r="D3902" s="559"/>
      <c r="E3902" s="559"/>
      <c r="F3902" s="559"/>
      <c r="G3902" s="558"/>
      <c r="H3902" s="559"/>
      <c r="I3902" s="559"/>
      <c r="J3902" s="559"/>
      <c r="K3902" s="560"/>
      <c r="L3902" s="560"/>
      <c r="M3902" s="560"/>
    </row>
    <row r="3903" spans="3:13" s="338" customFormat="1">
      <c r="C3903" s="558"/>
      <c r="D3903" s="559"/>
      <c r="E3903" s="559"/>
      <c r="F3903" s="559"/>
      <c r="G3903" s="558"/>
      <c r="H3903" s="559"/>
      <c r="I3903" s="559"/>
      <c r="J3903" s="559"/>
      <c r="K3903" s="560"/>
      <c r="L3903" s="560"/>
      <c r="M3903" s="560"/>
    </row>
    <row r="3904" spans="3:13" s="338" customFormat="1">
      <c r="C3904" s="558"/>
      <c r="D3904" s="559"/>
      <c r="E3904" s="559"/>
      <c r="F3904" s="559"/>
      <c r="G3904" s="558"/>
      <c r="H3904" s="559"/>
      <c r="I3904" s="559"/>
      <c r="J3904" s="559"/>
      <c r="K3904" s="560"/>
      <c r="L3904" s="560"/>
      <c r="M3904" s="560"/>
    </row>
    <row r="3905" spans="3:13" s="338" customFormat="1">
      <c r="C3905" s="558"/>
      <c r="D3905" s="559"/>
      <c r="E3905" s="559"/>
      <c r="F3905" s="559"/>
      <c r="G3905" s="558"/>
      <c r="H3905" s="559"/>
      <c r="I3905" s="559"/>
      <c r="J3905" s="559"/>
      <c r="K3905" s="560"/>
      <c r="L3905" s="560"/>
      <c r="M3905" s="560"/>
    </row>
    <row r="3906" spans="3:13" s="338" customFormat="1">
      <c r="C3906" s="558"/>
      <c r="D3906" s="559"/>
      <c r="E3906" s="559"/>
      <c r="F3906" s="559"/>
      <c r="G3906" s="558"/>
      <c r="H3906" s="559"/>
      <c r="I3906" s="559"/>
      <c r="J3906" s="559"/>
      <c r="K3906" s="560"/>
      <c r="L3906" s="560"/>
      <c r="M3906" s="560"/>
    </row>
    <row r="3907" spans="3:13" s="338" customFormat="1">
      <c r="C3907" s="558"/>
      <c r="D3907" s="559"/>
      <c r="E3907" s="559"/>
      <c r="F3907" s="559"/>
      <c r="G3907" s="558"/>
      <c r="H3907" s="559"/>
      <c r="I3907" s="559"/>
      <c r="J3907" s="559"/>
      <c r="K3907" s="560"/>
      <c r="L3907" s="560"/>
      <c r="M3907" s="560"/>
    </row>
    <row r="3908" spans="3:13" s="338" customFormat="1">
      <c r="C3908" s="558"/>
      <c r="D3908" s="559"/>
      <c r="E3908" s="559"/>
      <c r="F3908" s="559"/>
      <c r="G3908" s="558"/>
      <c r="H3908" s="559"/>
      <c r="I3908" s="559"/>
      <c r="J3908" s="559"/>
      <c r="K3908" s="560"/>
      <c r="L3908" s="560"/>
      <c r="M3908" s="560"/>
    </row>
    <row r="3909" spans="3:13" s="338" customFormat="1">
      <c r="C3909" s="558"/>
      <c r="D3909" s="559"/>
      <c r="E3909" s="559"/>
      <c r="F3909" s="559"/>
      <c r="G3909" s="558"/>
      <c r="H3909" s="559"/>
      <c r="I3909" s="559"/>
      <c r="J3909" s="559"/>
      <c r="K3909" s="560"/>
      <c r="L3909" s="560"/>
      <c r="M3909" s="560"/>
    </row>
    <row r="3910" spans="3:13" s="338" customFormat="1">
      <c r="C3910" s="558"/>
      <c r="D3910" s="559"/>
      <c r="E3910" s="559"/>
      <c r="F3910" s="559"/>
      <c r="G3910" s="558"/>
      <c r="H3910" s="559"/>
      <c r="I3910" s="559"/>
      <c r="J3910" s="559"/>
      <c r="K3910" s="560"/>
      <c r="L3910" s="560"/>
      <c r="M3910" s="560"/>
    </row>
    <row r="3911" spans="3:13" s="338" customFormat="1">
      <c r="C3911" s="558"/>
      <c r="D3911" s="559"/>
      <c r="E3911" s="559"/>
      <c r="F3911" s="559"/>
      <c r="G3911" s="558"/>
      <c r="H3911" s="559"/>
      <c r="I3911" s="559"/>
      <c r="J3911" s="559"/>
      <c r="K3911" s="560"/>
      <c r="L3911" s="560"/>
      <c r="M3911" s="560"/>
    </row>
    <row r="3912" spans="3:13" s="338" customFormat="1">
      <c r="C3912" s="558"/>
      <c r="D3912" s="559"/>
      <c r="E3912" s="559"/>
      <c r="F3912" s="559"/>
      <c r="G3912" s="558"/>
      <c r="H3912" s="559"/>
      <c r="I3912" s="559"/>
      <c r="J3912" s="559"/>
      <c r="K3912" s="560"/>
      <c r="L3912" s="560"/>
      <c r="M3912" s="560"/>
    </row>
    <row r="3913" spans="3:13" s="338" customFormat="1">
      <c r="C3913" s="558"/>
      <c r="D3913" s="559"/>
      <c r="E3913" s="559"/>
      <c r="F3913" s="559"/>
      <c r="G3913" s="558"/>
      <c r="H3913" s="559"/>
      <c r="I3913" s="559"/>
      <c r="J3913" s="559"/>
      <c r="K3913" s="560"/>
      <c r="L3913" s="560"/>
      <c r="M3913" s="560"/>
    </row>
    <row r="3914" spans="3:13" s="338" customFormat="1">
      <c r="C3914" s="558"/>
      <c r="D3914" s="559"/>
      <c r="E3914" s="559"/>
      <c r="F3914" s="559"/>
      <c r="G3914" s="558"/>
      <c r="H3914" s="559"/>
      <c r="I3914" s="559"/>
      <c r="J3914" s="559"/>
      <c r="K3914" s="560"/>
      <c r="L3914" s="560"/>
      <c r="M3914" s="560"/>
    </row>
    <row r="3915" spans="3:13" s="338" customFormat="1">
      <c r="C3915" s="558"/>
      <c r="D3915" s="559"/>
      <c r="E3915" s="559"/>
      <c r="F3915" s="559"/>
      <c r="G3915" s="558"/>
      <c r="H3915" s="559"/>
      <c r="I3915" s="559"/>
      <c r="J3915" s="559"/>
      <c r="K3915" s="560"/>
      <c r="L3915" s="560"/>
      <c r="M3915" s="560"/>
    </row>
    <row r="3916" spans="3:13" s="338" customFormat="1">
      <c r="C3916" s="558"/>
      <c r="D3916" s="559"/>
      <c r="E3916" s="559"/>
      <c r="F3916" s="559"/>
      <c r="G3916" s="558"/>
      <c r="H3916" s="559"/>
      <c r="I3916" s="559"/>
      <c r="J3916" s="559"/>
      <c r="K3916" s="560"/>
      <c r="L3916" s="560"/>
      <c r="M3916" s="560"/>
    </row>
    <row r="3917" spans="3:13" s="338" customFormat="1">
      <c r="C3917" s="558"/>
      <c r="D3917" s="559"/>
      <c r="E3917" s="559"/>
      <c r="F3917" s="559"/>
      <c r="G3917" s="558"/>
      <c r="H3917" s="559"/>
      <c r="I3917" s="559"/>
      <c r="J3917" s="559"/>
      <c r="K3917" s="560"/>
      <c r="L3917" s="560"/>
      <c r="M3917" s="560"/>
    </row>
    <row r="3918" spans="3:13" s="338" customFormat="1">
      <c r="C3918" s="558"/>
      <c r="D3918" s="559"/>
      <c r="E3918" s="559"/>
      <c r="F3918" s="559"/>
      <c r="G3918" s="558"/>
      <c r="H3918" s="559"/>
      <c r="I3918" s="559"/>
      <c r="J3918" s="559"/>
      <c r="K3918" s="560"/>
      <c r="L3918" s="560"/>
      <c r="M3918" s="560"/>
    </row>
    <row r="3919" spans="3:13" s="338" customFormat="1">
      <c r="C3919" s="558"/>
      <c r="D3919" s="559"/>
      <c r="E3919" s="559"/>
      <c r="F3919" s="559"/>
      <c r="G3919" s="558"/>
      <c r="H3919" s="559"/>
      <c r="I3919" s="559"/>
      <c r="J3919" s="559"/>
      <c r="K3919" s="560"/>
      <c r="L3919" s="560"/>
      <c r="M3919" s="560"/>
    </row>
    <row r="3920" spans="3:13" s="338" customFormat="1">
      <c r="C3920" s="558"/>
      <c r="D3920" s="559"/>
      <c r="E3920" s="559"/>
      <c r="F3920" s="559"/>
      <c r="G3920" s="558"/>
      <c r="H3920" s="559"/>
      <c r="I3920" s="559"/>
      <c r="J3920" s="559"/>
      <c r="K3920" s="560"/>
      <c r="L3920" s="560"/>
      <c r="M3920" s="560"/>
    </row>
    <row r="3921" spans="3:13" s="338" customFormat="1">
      <c r="C3921" s="558"/>
      <c r="D3921" s="559"/>
      <c r="E3921" s="559"/>
      <c r="F3921" s="559"/>
      <c r="G3921" s="558"/>
      <c r="H3921" s="559"/>
      <c r="I3921" s="559"/>
      <c r="J3921" s="559"/>
      <c r="K3921" s="560"/>
      <c r="L3921" s="560"/>
      <c r="M3921" s="560"/>
    </row>
    <row r="3922" spans="3:13" s="338" customFormat="1">
      <c r="C3922" s="558"/>
      <c r="D3922" s="559"/>
      <c r="E3922" s="559"/>
      <c r="F3922" s="559"/>
      <c r="G3922" s="558"/>
      <c r="H3922" s="559"/>
      <c r="I3922" s="559"/>
      <c r="J3922" s="559"/>
      <c r="K3922" s="560"/>
      <c r="L3922" s="560"/>
      <c r="M3922" s="560"/>
    </row>
    <row r="3923" spans="3:13" s="338" customFormat="1">
      <c r="C3923" s="558"/>
      <c r="D3923" s="559"/>
      <c r="E3923" s="559"/>
      <c r="F3923" s="559"/>
      <c r="G3923" s="558"/>
      <c r="H3923" s="559"/>
      <c r="I3923" s="559"/>
      <c r="J3923" s="559"/>
      <c r="K3923" s="560"/>
      <c r="L3923" s="560"/>
      <c r="M3923" s="560"/>
    </row>
    <row r="3924" spans="3:13" s="338" customFormat="1">
      <c r="C3924" s="558"/>
      <c r="D3924" s="559"/>
      <c r="E3924" s="559"/>
      <c r="F3924" s="559"/>
      <c r="G3924" s="558"/>
      <c r="H3924" s="559"/>
      <c r="I3924" s="559"/>
      <c r="J3924" s="559"/>
      <c r="K3924" s="560"/>
      <c r="L3924" s="560"/>
      <c r="M3924" s="560"/>
    </row>
    <row r="3925" spans="3:13" s="338" customFormat="1">
      <c r="C3925" s="558"/>
      <c r="D3925" s="559"/>
      <c r="E3925" s="559"/>
      <c r="F3925" s="559"/>
      <c r="G3925" s="558"/>
      <c r="H3925" s="559"/>
      <c r="I3925" s="559"/>
      <c r="J3925" s="559"/>
      <c r="K3925" s="560"/>
      <c r="L3925" s="560"/>
      <c r="M3925" s="560"/>
    </row>
    <row r="3926" spans="3:13" s="338" customFormat="1">
      <c r="C3926" s="558"/>
      <c r="D3926" s="559"/>
      <c r="E3926" s="559"/>
      <c r="F3926" s="559"/>
      <c r="G3926" s="558"/>
      <c r="H3926" s="559"/>
      <c r="I3926" s="559"/>
      <c r="J3926" s="559"/>
      <c r="K3926" s="560"/>
      <c r="L3926" s="560"/>
      <c r="M3926" s="560"/>
    </row>
    <row r="3927" spans="3:13" s="338" customFormat="1">
      <c r="C3927" s="558"/>
      <c r="D3927" s="559"/>
      <c r="E3927" s="559"/>
      <c r="F3927" s="559"/>
      <c r="G3927" s="558"/>
      <c r="H3927" s="559"/>
      <c r="I3927" s="559"/>
      <c r="J3927" s="559"/>
      <c r="K3927" s="560"/>
      <c r="L3927" s="560"/>
      <c r="M3927" s="560"/>
    </row>
    <row r="3928" spans="3:13" s="338" customFormat="1">
      <c r="C3928" s="558"/>
      <c r="D3928" s="559"/>
      <c r="E3928" s="559"/>
      <c r="F3928" s="559"/>
      <c r="G3928" s="558"/>
      <c r="H3928" s="559"/>
      <c r="I3928" s="559"/>
      <c r="J3928" s="559"/>
      <c r="K3928" s="560"/>
      <c r="L3928" s="560"/>
      <c r="M3928" s="560"/>
    </row>
    <row r="3929" spans="3:13" s="338" customFormat="1">
      <c r="C3929" s="558"/>
      <c r="D3929" s="559"/>
      <c r="E3929" s="559"/>
      <c r="F3929" s="559"/>
      <c r="G3929" s="558"/>
      <c r="H3929" s="559"/>
      <c r="I3929" s="559"/>
      <c r="J3929" s="559"/>
      <c r="K3929" s="560"/>
      <c r="L3929" s="560"/>
      <c r="M3929" s="560"/>
    </row>
    <row r="3930" spans="3:13" s="338" customFormat="1">
      <c r="C3930" s="558"/>
      <c r="D3930" s="559"/>
      <c r="E3930" s="559"/>
      <c r="F3930" s="559"/>
      <c r="G3930" s="558"/>
      <c r="H3930" s="559"/>
      <c r="I3930" s="559"/>
      <c r="J3930" s="559"/>
      <c r="K3930" s="560"/>
      <c r="L3930" s="560"/>
      <c r="M3930" s="560"/>
    </row>
    <row r="3931" spans="3:13" s="338" customFormat="1">
      <c r="C3931" s="558"/>
      <c r="D3931" s="559"/>
      <c r="E3931" s="559"/>
      <c r="F3931" s="559"/>
      <c r="G3931" s="558"/>
      <c r="H3931" s="559"/>
      <c r="I3931" s="559"/>
      <c r="J3931" s="559"/>
      <c r="K3931" s="560"/>
      <c r="L3931" s="560"/>
      <c r="M3931" s="560"/>
    </row>
    <row r="3932" spans="3:13" s="338" customFormat="1">
      <c r="C3932" s="558"/>
      <c r="D3932" s="559"/>
      <c r="E3932" s="559"/>
      <c r="F3932" s="559"/>
      <c r="G3932" s="558"/>
      <c r="H3932" s="559"/>
      <c r="I3932" s="559"/>
      <c r="J3932" s="559"/>
      <c r="K3932" s="560"/>
      <c r="L3932" s="560"/>
      <c r="M3932" s="560"/>
    </row>
    <row r="3933" spans="3:13" s="338" customFormat="1">
      <c r="C3933" s="558"/>
      <c r="D3933" s="559"/>
      <c r="E3933" s="559"/>
      <c r="F3933" s="559"/>
      <c r="G3933" s="558"/>
      <c r="H3933" s="559"/>
      <c r="I3933" s="559"/>
      <c r="J3933" s="559"/>
      <c r="K3933" s="560"/>
      <c r="L3933" s="560"/>
      <c r="M3933" s="560"/>
    </row>
    <row r="3934" spans="3:13" s="338" customFormat="1">
      <c r="C3934" s="558"/>
      <c r="D3934" s="559"/>
      <c r="E3934" s="559"/>
      <c r="F3934" s="559"/>
      <c r="G3934" s="558"/>
      <c r="H3934" s="559"/>
      <c r="I3934" s="559"/>
      <c r="J3934" s="559"/>
      <c r="K3934" s="560"/>
      <c r="L3934" s="560"/>
      <c r="M3934" s="560"/>
    </row>
    <row r="3935" spans="3:13" s="338" customFormat="1">
      <c r="C3935" s="558"/>
      <c r="D3935" s="559"/>
      <c r="E3935" s="559"/>
      <c r="F3935" s="559"/>
      <c r="G3935" s="558"/>
      <c r="H3935" s="559"/>
      <c r="I3935" s="559"/>
      <c r="J3935" s="559"/>
      <c r="K3935" s="560"/>
      <c r="L3935" s="560"/>
      <c r="M3935" s="560"/>
    </row>
    <row r="3936" spans="3:13" s="338" customFormat="1">
      <c r="C3936" s="558"/>
      <c r="D3936" s="559"/>
      <c r="E3936" s="559"/>
      <c r="F3936" s="559"/>
      <c r="G3936" s="558"/>
      <c r="H3936" s="559"/>
      <c r="I3936" s="559"/>
      <c r="J3936" s="559"/>
      <c r="K3936" s="560"/>
      <c r="L3936" s="560"/>
      <c r="M3936" s="560"/>
    </row>
    <row r="3937" spans="3:13" s="338" customFormat="1">
      <c r="C3937" s="558"/>
      <c r="D3937" s="559"/>
      <c r="E3937" s="559"/>
      <c r="F3937" s="559"/>
      <c r="G3937" s="558"/>
      <c r="H3937" s="559"/>
      <c r="I3937" s="559"/>
      <c r="J3937" s="559"/>
      <c r="K3937" s="560"/>
      <c r="L3937" s="560"/>
      <c r="M3937" s="560"/>
    </row>
    <row r="3938" spans="3:13" s="338" customFormat="1">
      <c r="C3938" s="558"/>
      <c r="D3938" s="559"/>
      <c r="E3938" s="559"/>
      <c r="F3938" s="559"/>
      <c r="G3938" s="558"/>
      <c r="H3938" s="559"/>
      <c r="I3938" s="559"/>
      <c r="J3938" s="559"/>
      <c r="K3938" s="560"/>
      <c r="L3938" s="560"/>
      <c r="M3938" s="560"/>
    </row>
    <row r="3939" spans="3:13" s="338" customFormat="1">
      <c r="C3939" s="558"/>
      <c r="D3939" s="559"/>
      <c r="E3939" s="559"/>
      <c r="F3939" s="559"/>
      <c r="G3939" s="558"/>
      <c r="H3939" s="559"/>
      <c r="I3939" s="559"/>
      <c r="J3939" s="559"/>
      <c r="K3939" s="560"/>
      <c r="L3939" s="560"/>
      <c r="M3939" s="560"/>
    </row>
    <row r="3940" spans="3:13" s="338" customFormat="1">
      <c r="C3940" s="558"/>
      <c r="D3940" s="559"/>
      <c r="E3940" s="559"/>
      <c r="F3940" s="559"/>
      <c r="G3940" s="558"/>
      <c r="H3940" s="559"/>
      <c r="I3940" s="559"/>
      <c r="J3940" s="559"/>
      <c r="K3940" s="560"/>
      <c r="L3940" s="560"/>
      <c r="M3940" s="560"/>
    </row>
    <row r="3941" spans="3:13" s="338" customFormat="1">
      <c r="C3941" s="558"/>
      <c r="D3941" s="559"/>
      <c r="E3941" s="559"/>
      <c r="F3941" s="559"/>
      <c r="G3941" s="558"/>
      <c r="H3941" s="559"/>
      <c r="I3941" s="559"/>
      <c r="J3941" s="559"/>
      <c r="K3941" s="560"/>
      <c r="L3941" s="560"/>
      <c r="M3941" s="560"/>
    </row>
    <row r="3942" spans="3:13" s="338" customFormat="1">
      <c r="C3942" s="558"/>
      <c r="D3942" s="559"/>
      <c r="E3942" s="559"/>
      <c r="F3942" s="559"/>
      <c r="G3942" s="558"/>
      <c r="H3942" s="559"/>
      <c r="I3942" s="559"/>
      <c r="J3942" s="559"/>
      <c r="K3942" s="560"/>
      <c r="L3942" s="560"/>
      <c r="M3942" s="560"/>
    </row>
    <row r="3943" spans="3:13" s="338" customFormat="1">
      <c r="C3943" s="558"/>
      <c r="D3943" s="559"/>
      <c r="E3943" s="559"/>
      <c r="F3943" s="559"/>
      <c r="G3943" s="558"/>
      <c r="H3943" s="559"/>
      <c r="I3943" s="559"/>
      <c r="J3943" s="559"/>
      <c r="K3943" s="560"/>
      <c r="L3943" s="560"/>
      <c r="M3943" s="560"/>
    </row>
    <row r="3944" spans="3:13" s="338" customFormat="1">
      <c r="C3944" s="558"/>
      <c r="D3944" s="559"/>
      <c r="E3944" s="559"/>
      <c r="F3944" s="559"/>
      <c r="G3944" s="558"/>
      <c r="H3944" s="559"/>
      <c r="I3944" s="559"/>
      <c r="J3944" s="559"/>
      <c r="K3944" s="560"/>
      <c r="L3944" s="560"/>
      <c r="M3944" s="560"/>
    </row>
    <row r="3945" spans="3:13" s="338" customFormat="1">
      <c r="C3945" s="558"/>
      <c r="D3945" s="559"/>
      <c r="E3945" s="559"/>
      <c r="F3945" s="559"/>
      <c r="G3945" s="558"/>
      <c r="H3945" s="559"/>
      <c r="I3945" s="559"/>
      <c r="J3945" s="559"/>
      <c r="K3945" s="560"/>
      <c r="L3945" s="560"/>
      <c r="M3945" s="560"/>
    </row>
    <row r="3946" spans="3:13" s="338" customFormat="1">
      <c r="C3946" s="558"/>
      <c r="D3946" s="559"/>
      <c r="E3946" s="559"/>
      <c r="F3946" s="559"/>
      <c r="G3946" s="558"/>
      <c r="H3946" s="559"/>
      <c r="I3946" s="559"/>
      <c r="J3946" s="559"/>
      <c r="K3946" s="560"/>
      <c r="L3946" s="560"/>
      <c r="M3946" s="560"/>
    </row>
    <row r="3947" spans="3:13" s="338" customFormat="1">
      <c r="C3947" s="558"/>
      <c r="D3947" s="559"/>
      <c r="E3947" s="559"/>
      <c r="F3947" s="559"/>
      <c r="G3947" s="558"/>
      <c r="H3947" s="559"/>
      <c r="I3947" s="559"/>
      <c r="J3947" s="559"/>
      <c r="K3947" s="560"/>
      <c r="L3947" s="560"/>
      <c r="M3947" s="560"/>
    </row>
    <row r="3948" spans="3:13" s="338" customFormat="1">
      <c r="C3948" s="558"/>
      <c r="D3948" s="559"/>
      <c r="E3948" s="559"/>
      <c r="F3948" s="559"/>
      <c r="G3948" s="558"/>
      <c r="H3948" s="559"/>
      <c r="I3948" s="559"/>
      <c r="J3948" s="559"/>
      <c r="K3948" s="560"/>
      <c r="L3948" s="560"/>
      <c r="M3948" s="560"/>
    </row>
    <row r="3949" spans="3:13" s="338" customFormat="1">
      <c r="C3949" s="558"/>
      <c r="D3949" s="559"/>
      <c r="E3949" s="559"/>
      <c r="F3949" s="559"/>
      <c r="G3949" s="558"/>
      <c r="H3949" s="559"/>
      <c r="I3949" s="559"/>
      <c r="J3949" s="559"/>
      <c r="K3949" s="560"/>
      <c r="L3949" s="560"/>
      <c r="M3949" s="560"/>
    </row>
    <row r="3950" spans="3:13" s="338" customFormat="1">
      <c r="C3950" s="558"/>
      <c r="D3950" s="559"/>
      <c r="E3950" s="559"/>
      <c r="F3950" s="559"/>
      <c r="G3950" s="558"/>
      <c r="H3950" s="559"/>
      <c r="I3950" s="559"/>
      <c r="J3950" s="559"/>
      <c r="K3950" s="560"/>
      <c r="L3950" s="560"/>
      <c r="M3950" s="560"/>
    </row>
    <row r="3951" spans="3:13" s="338" customFormat="1">
      <c r="C3951" s="558"/>
      <c r="D3951" s="559"/>
      <c r="E3951" s="559"/>
      <c r="F3951" s="559"/>
      <c r="G3951" s="558"/>
      <c r="H3951" s="559"/>
      <c r="I3951" s="559"/>
      <c r="J3951" s="559"/>
      <c r="K3951" s="560"/>
      <c r="L3951" s="560"/>
      <c r="M3951" s="560"/>
    </row>
    <row r="3952" spans="3:13" s="338" customFormat="1">
      <c r="C3952" s="558"/>
      <c r="D3952" s="559"/>
      <c r="E3952" s="559"/>
      <c r="F3952" s="559"/>
      <c r="G3952" s="558"/>
      <c r="H3952" s="559"/>
      <c r="I3952" s="559"/>
      <c r="J3952" s="559"/>
      <c r="K3952" s="560"/>
      <c r="L3952" s="560"/>
      <c r="M3952" s="560"/>
    </row>
    <row r="3953" spans="3:13" s="338" customFormat="1">
      <c r="C3953" s="558"/>
      <c r="D3953" s="559"/>
      <c r="E3953" s="559"/>
      <c r="F3953" s="559"/>
      <c r="G3953" s="558"/>
      <c r="H3953" s="559"/>
      <c r="I3953" s="559"/>
      <c r="J3953" s="559"/>
      <c r="K3953" s="560"/>
      <c r="L3953" s="560"/>
      <c r="M3953" s="560"/>
    </row>
    <row r="3954" spans="3:13" s="338" customFormat="1">
      <c r="C3954" s="558"/>
      <c r="D3954" s="559"/>
      <c r="E3954" s="559"/>
      <c r="F3954" s="559"/>
      <c r="G3954" s="558"/>
      <c r="H3954" s="559"/>
      <c r="I3954" s="559"/>
      <c r="J3954" s="559"/>
      <c r="K3954" s="560"/>
      <c r="L3954" s="560"/>
      <c r="M3954" s="560"/>
    </row>
    <row r="3955" spans="3:13" s="338" customFormat="1">
      <c r="C3955" s="558"/>
      <c r="D3955" s="559"/>
      <c r="E3955" s="559"/>
      <c r="F3955" s="559"/>
      <c r="G3955" s="558"/>
      <c r="H3955" s="559"/>
      <c r="I3955" s="559"/>
      <c r="J3955" s="559"/>
      <c r="K3955" s="560"/>
      <c r="L3955" s="560"/>
      <c r="M3955" s="560"/>
    </row>
    <row r="3956" spans="3:13" s="338" customFormat="1">
      <c r="C3956" s="558"/>
      <c r="D3956" s="559"/>
      <c r="E3956" s="559"/>
      <c r="F3956" s="559"/>
      <c r="G3956" s="558"/>
      <c r="H3956" s="559"/>
      <c r="I3956" s="559"/>
      <c r="J3956" s="559"/>
      <c r="K3956" s="560"/>
      <c r="L3956" s="560"/>
      <c r="M3956" s="560"/>
    </row>
    <row r="3957" spans="3:13" s="338" customFormat="1">
      <c r="C3957" s="558"/>
      <c r="D3957" s="559"/>
      <c r="E3957" s="559"/>
      <c r="F3957" s="559"/>
      <c r="G3957" s="558"/>
      <c r="H3957" s="559"/>
      <c r="I3957" s="559"/>
      <c r="J3957" s="559"/>
      <c r="K3957" s="560"/>
      <c r="L3957" s="560"/>
      <c r="M3957" s="560"/>
    </row>
    <row r="3958" spans="3:13" s="338" customFormat="1">
      <c r="C3958" s="558"/>
      <c r="D3958" s="559"/>
      <c r="E3958" s="559"/>
      <c r="F3958" s="559"/>
      <c r="G3958" s="558"/>
      <c r="H3958" s="559"/>
      <c r="I3958" s="559"/>
      <c r="J3958" s="559"/>
      <c r="K3958" s="560"/>
      <c r="L3958" s="560"/>
      <c r="M3958" s="560"/>
    </row>
    <row r="3959" spans="3:13" s="338" customFormat="1">
      <c r="C3959" s="558"/>
      <c r="D3959" s="559"/>
      <c r="E3959" s="559"/>
      <c r="F3959" s="559"/>
      <c r="G3959" s="558"/>
      <c r="H3959" s="559"/>
      <c r="I3959" s="559"/>
      <c r="J3959" s="559"/>
      <c r="K3959" s="560"/>
      <c r="L3959" s="560"/>
      <c r="M3959" s="560"/>
    </row>
    <row r="3960" spans="3:13" s="338" customFormat="1">
      <c r="C3960" s="558"/>
      <c r="D3960" s="559"/>
      <c r="E3960" s="559"/>
      <c r="F3960" s="559"/>
      <c r="G3960" s="558"/>
      <c r="H3960" s="559"/>
      <c r="I3960" s="559"/>
      <c r="J3960" s="559"/>
      <c r="K3960" s="560"/>
      <c r="L3960" s="560"/>
      <c r="M3960" s="560"/>
    </row>
    <row r="3961" spans="3:13" s="338" customFormat="1">
      <c r="C3961" s="558"/>
      <c r="D3961" s="559"/>
      <c r="E3961" s="559"/>
      <c r="F3961" s="559"/>
      <c r="G3961" s="558"/>
      <c r="H3961" s="559"/>
      <c r="I3961" s="559"/>
      <c r="J3961" s="559"/>
      <c r="K3961" s="560"/>
      <c r="L3961" s="560"/>
      <c r="M3961" s="560"/>
    </row>
    <row r="3962" spans="3:13" s="338" customFormat="1">
      <c r="C3962" s="558"/>
      <c r="D3962" s="559"/>
      <c r="E3962" s="559"/>
      <c r="F3962" s="559"/>
      <c r="G3962" s="558"/>
      <c r="H3962" s="559"/>
      <c r="I3962" s="559"/>
      <c r="J3962" s="559"/>
      <c r="K3962" s="560"/>
      <c r="L3962" s="560"/>
      <c r="M3962" s="560"/>
    </row>
    <row r="3963" spans="3:13" s="338" customFormat="1">
      <c r="C3963" s="558"/>
      <c r="D3963" s="559"/>
      <c r="E3963" s="559"/>
      <c r="F3963" s="559"/>
      <c r="G3963" s="558"/>
      <c r="H3963" s="559"/>
      <c r="I3963" s="559"/>
      <c r="J3963" s="559"/>
      <c r="K3963" s="560"/>
      <c r="L3963" s="560"/>
      <c r="M3963" s="560"/>
    </row>
    <row r="3964" spans="3:13" s="338" customFormat="1">
      <c r="C3964" s="558"/>
      <c r="D3964" s="559"/>
      <c r="E3964" s="559"/>
      <c r="F3964" s="559"/>
      <c r="G3964" s="558"/>
      <c r="H3964" s="559"/>
      <c r="I3964" s="559"/>
      <c r="J3964" s="559"/>
      <c r="K3964" s="560"/>
      <c r="L3964" s="560"/>
      <c r="M3964" s="560"/>
    </row>
    <row r="3965" spans="3:13" s="338" customFormat="1">
      <c r="C3965" s="558"/>
      <c r="D3965" s="559"/>
      <c r="E3965" s="559"/>
      <c r="F3965" s="559"/>
      <c r="G3965" s="558"/>
      <c r="H3965" s="559"/>
      <c r="I3965" s="559"/>
      <c r="J3965" s="559"/>
      <c r="K3965" s="560"/>
      <c r="L3965" s="560"/>
      <c r="M3965" s="560"/>
    </row>
    <row r="3966" spans="3:13" s="338" customFormat="1">
      <c r="C3966" s="558"/>
      <c r="D3966" s="559"/>
      <c r="E3966" s="559"/>
      <c r="F3966" s="559"/>
      <c r="G3966" s="558"/>
      <c r="H3966" s="559"/>
      <c r="I3966" s="559"/>
      <c r="J3966" s="559"/>
      <c r="K3966" s="560"/>
      <c r="L3966" s="560"/>
      <c r="M3966" s="560"/>
    </row>
    <row r="3967" spans="3:13" s="338" customFormat="1">
      <c r="C3967" s="558"/>
      <c r="D3967" s="559"/>
      <c r="E3967" s="559"/>
      <c r="F3967" s="559"/>
      <c r="G3967" s="558"/>
      <c r="H3967" s="559"/>
      <c r="I3967" s="559"/>
      <c r="J3967" s="559"/>
      <c r="K3967" s="560"/>
      <c r="L3967" s="560"/>
      <c r="M3967" s="560"/>
    </row>
    <row r="3968" spans="3:13" s="338" customFormat="1">
      <c r="C3968" s="558"/>
      <c r="D3968" s="559"/>
      <c r="E3968" s="559"/>
      <c r="F3968" s="559"/>
      <c r="G3968" s="558"/>
      <c r="H3968" s="559"/>
      <c r="I3968" s="559"/>
      <c r="J3968" s="559"/>
      <c r="K3968" s="560"/>
      <c r="L3968" s="560"/>
      <c r="M3968" s="560"/>
    </row>
    <row r="3969" spans="3:13" s="338" customFormat="1">
      <c r="C3969" s="558"/>
      <c r="D3969" s="559"/>
      <c r="E3969" s="559"/>
      <c r="F3969" s="559"/>
      <c r="G3969" s="558"/>
      <c r="H3969" s="559"/>
      <c r="I3969" s="559"/>
      <c r="J3969" s="559"/>
      <c r="K3969" s="560"/>
      <c r="L3969" s="560"/>
      <c r="M3969" s="560"/>
    </row>
    <row r="3970" spans="3:13" s="338" customFormat="1">
      <c r="C3970" s="558"/>
      <c r="D3970" s="559"/>
      <c r="E3970" s="559"/>
      <c r="F3970" s="559"/>
      <c r="G3970" s="558"/>
      <c r="H3970" s="559"/>
      <c r="I3970" s="559"/>
      <c r="J3970" s="559"/>
      <c r="K3970" s="560"/>
      <c r="L3970" s="560"/>
      <c r="M3970" s="560"/>
    </row>
    <row r="3971" spans="3:13" s="338" customFormat="1">
      <c r="C3971" s="558"/>
      <c r="D3971" s="559"/>
      <c r="E3971" s="559"/>
      <c r="F3971" s="559"/>
      <c r="G3971" s="558"/>
      <c r="H3971" s="559"/>
      <c r="I3971" s="559"/>
      <c r="J3971" s="559"/>
      <c r="K3971" s="560"/>
      <c r="L3971" s="560"/>
      <c r="M3971" s="560"/>
    </row>
    <row r="3972" spans="3:13" s="338" customFormat="1">
      <c r="C3972" s="558"/>
      <c r="D3972" s="559"/>
      <c r="E3972" s="559"/>
      <c r="F3972" s="559"/>
      <c r="G3972" s="558"/>
      <c r="H3972" s="559"/>
      <c r="I3972" s="559"/>
      <c r="J3972" s="559"/>
      <c r="K3972" s="560"/>
      <c r="L3972" s="560"/>
      <c r="M3972" s="560"/>
    </row>
    <row r="3973" spans="3:13" s="338" customFormat="1">
      <c r="C3973" s="558"/>
      <c r="D3973" s="559"/>
      <c r="E3973" s="559"/>
      <c r="F3973" s="559"/>
      <c r="G3973" s="558"/>
      <c r="H3973" s="559"/>
      <c r="I3973" s="559"/>
      <c r="J3973" s="559"/>
      <c r="K3973" s="560"/>
      <c r="L3973" s="560"/>
      <c r="M3973" s="560"/>
    </row>
    <row r="3974" spans="3:13" s="338" customFormat="1">
      <c r="C3974" s="558"/>
      <c r="D3974" s="559"/>
      <c r="E3974" s="559"/>
      <c r="F3974" s="559"/>
      <c r="G3974" s="558"/>
      <c r="H3974" s="559"/>
      <c r="I3974" s="559"/>
      <c r="J3974" s="559"/>
      <c r="K3974" s="560"/>
      <c r="L3974" s="560"/>
      <c r="M3974" s="560"/>
    </row>
    <row r="3975" spans="3:13" s="338" customFormat="1">
      <c r="C3975" s="558"/>
      <c r="D3975" s="559"/>
      <c r="E3975" s="559"/>
      <c r="F3975" s="559"/>
      <c r="G3975" s="558"/>
      <c r="H3975" s="559"/>
      <c r="I3975" s="559"/>
      <c r="J3975" s="559"/>
      <c r="K3975" s="560"/>
      <c r="L3975" s="560"/>
      <c r="M3975" s="560"/>
    </row>
    <row r="3976" spans="3:13" s="338" customFormat="1">
      <c r="C3976" s="558"/>
      <c r="D3976" s="559"/>
      <c r="E3976" s="559"/>
      <c r="F3976" s="559"/>
      <c r="G3976" s="558"/>
      <c r="H3976" s="559"/>
      <c r="I3976" s="559"/>
      <c r="J3976" s="559"/>
      <c r="K3976" s="560"/>
      <c r="L3976" s="560"/>
      <c r="M3976" s="560"/>
    </row>
    <row r="3977" spans="3:13" s="338" customFormat="1">
      <c r="C3977" s="558"/>
      <c r="D3977" s="559"/>
      <c r="E3977" s="559"/>
      <c r="F3977" s="559"/>
      <c r="G3977" s="558"/>
      <c r="H3977" s="559"/>
      <c r="I3977" s="559"/>
      <c r="J3977" s="559"/>
      <c r="K3977" s="560"/>
      <c r="L3977" s="560"/>
      <c r="M3977" s="560"/>
    </row>
    <row r="3978" spans="3:13" s="338" customFormat="1">
      <c r="C3978" s="558"/>
      <c r="D3978" s="559"/>
      <c r="E3978" s="559"/>
      <c r="F3978" s="559"/>
      <c r="G3978" s="558"/>
      <c r="H3978" s="559"/>
      <c r="I3978" s="559"/>
      <c r="J3978" s="559"/>
      <c r="K3978" s="560"/>
      <c r="L3978" s="560"/>
      <c r="M3978" s="560"/>
    </row>
    <row r="3979" spans="3:13" s="338" customFormat="1">
      <c r="C3979" s="558"/>
      <c r="D3979" s="559"/>
      <c r="E3979" s="559"/>
      <c r="F3979" s="559"/>
      <c r="G3979" s="558"/>
      <c r="H3979" s="559"/>
      <c r="I3979" s="559"/>
      <c r="J3979" s="559"/>
      <c r="K3979" s="560"/>
      <c r="L3979" s="560"/>
      <c r="M3979" s="560"/>
    </row>
    <row r="3980" spans="3:13" s="338" customFormat="1">
      <c r="C3980" s="558"/>
      <c r="D3980" s="559"/>
      <c r="E3980" s="559"/>
      <c r="F3980" s="559"/>
      <c r="G3980" s="558"/>
      <c r="H3980" s="559"/>
      <c r="I3980" s="559"/>
      <c r="J3980" s="559"/>
      <c r="K3980" s="560"/>
      <c r="L3980" s="560"/>
      <c r="M3980" s="560"/>
    </row>
    <row r="3981" spans="3:13" s="338" customFormat="1">
      <c r="C3981" s="558"/>
      <c r="D3981" s="559"/>
      <c r="E3981" s="559"/>
      <c r="F3981" s="559"/>
      <c r="G3981" s="558"/>
      <c r="H3981" s="559"/>
      <c r="I3981" s="559"/>
      <c r="J3981" s="559"/>
      <c r="K3981" s="560"/>
      <c r="L3981" s="560"/>
      <c r="M3981" s="560"/>
    </row>
    <row r="3982" spans="3:13" s="338" customFormat="1">
      <c r="C3982" s="558"/>
      <c r="D3982" s="559"/>
      <c r="E3982" s="559"/>
      <c r="F3982" s="559"/>
      <c r="G3982" s="558"/>
      <c r="H3982" s="559"/>
      <c r="I3982" s="559"/>
      <c r="J3982" s="559"/>
      <c r="K3982" s="560"/>
      <c r="L3982" s="560"/>
      <c r="M3982" s="560"/>
    </row>
    <row r="3983" spans="3:13" s="338" customFormat="1">
      <c r="C3983" s="558"/>
      <c r="D3983" s="559"/>
      <c r="E3983" s="559"/>
      <c r="F3983" s="559"/>
      <c r="G3983" s="558"/>
      <c r="H3983" s="559"/>
      <c r="I3983" s="559"/>
      <c r="J3983" s="559"/>
      <c r="K3983" s="560"/>
      <c r="L3983" s="560"/>
      <c r="M3983" s="560"/>
    </row>
    <row r="3984" spans="3:13" s="338" customFormat="1">
      <c r="C3984" s="558"/>
      <c r="D3984" s="559"/>
      <c r="E3984" s="559"/>
      <c r="F3984" s="559"/>
      <c r="G3984" s="558"/>
      <c r="H3984" s="559"/>
      <c r="I3984" s="559"/>
      <c r="J3984" s="559"/>
      <c r="K3984" s="560"/>
      <c r="L3984" s="560"/>
      <c r="M3984" s="560"/>
    </row>
    <row r="3985" spans="3:13" s="338" customFormat="1">
      <c r="C3985" s="558"/>
      <c r="D3985" s="559"/>
      <c r="E3985" s="559"/>
      <c r="F3985" s="559"/>
      <c r="G3985" s="558"/>
      <c r="H3985" s="559"/>
      <c r="I3985" s="559"/>
      <c r="J3985" s="559"/>
      <c r="K3985" s="560"/>
      <c r="L3985" s="560"/>
      <c r="M3985" s="560"/>
    </row>
    <row r="3986" spans="3:13" s="338" customFormat="1">
      <c r="C3986" s="558"/>
      <c r="D3986" s="559"/>
      <c r="E3986" s="559"/>
      <c r="F3986" s="559"/>
      <c r="G3986" s="558"/>
      <c r="H3986" s="559"/>
      <c r="I3986" s="559"/>
      <c r="J3986" s="559"/>
      <c r="K3986" s="560"/>
      <c r="L3986" s="560"/>
      <c r="M3986" s="560"/>
    </row>
    <row r="3987" spans="3:13" s="338" customFormat="1">
      <c r="C3987" s="558"/>
      <c r="D3987" s="559"/>
      <c r="E3987" s="559"/>
      <c r="F3987" s="559"/>
      <c r="G3987" s="558"/>
      <c r="H3987" s="559"/>
      <c r="I3987" s="559"/>
      <c r="J3987" s="559"/>
      <c r="K3987" s="560"/>
      <c r="L3987" s="560"/>
      <c r="M3987" s="560"/>
    </row>
    <row r="3988" spans="3:13" s="338" customFormat="1">
      <c r="C3988" s="558"/>
      <c r="D3988" s="559"/>
      <c r="E3988" s="559"/>
      <c r="F3988" s="559"/>
      <c r="G3988" s="558"/>
      <c r="H3988" s="559"/>
      <c r="I3988" s="559"/>
      <c r="J3988" s="559"/>
      <c r="K3988" s="560"/>
      <c r="L3988" s="560"/>
      <c r="M3988" s="560"/>
    </row>
    <row r="3989" spans="3:13" s="338" customFormat="1">
      <c r="C3989" s="558"/>
      <c r="D3989" s="559"/>
      <c r="E3989" s="559"/>
      <c r="F3989" s="559"/>
      <c r="G3989" s="558"/>
      <c r="H3989" s="559"/>
      <c r="I3989" s="559"/>
      <c r="J3989" s="559"/>
      <c r="K3989" s="560"/>
      <c r="L3989" s="560"/>
      <c r="M3989" s="560"/>
    </row>
    <row r="3990" spans="3:13" s="338" customFormat="1">
      <c r="C3990" s="558"/>
      <c r="D3990" s="559"/>
      <c r="E3990" s="559"/>
      <c r="F3990" s="559"/>
      <c r="G3990" s="558"/>
      <c r="H3990" s="559"/>
      <c r="I3990" s="559"/>
      <c r="J3990" s="559"/>
      <c r="K3990" s="560"/>
      <c r="L3990" s="560"/>
      <c r="M3990" s="560"/>
    </row>
    <row r="3991" spans="3:13" s="338" customFormat="1">
      <c r="C3991" s="558"/>
      <c r="D3991" s="559"/>
      <c r="E3991" s="559"/>
      <c r="F3991" s="559"/>
      <c r="G3991" s="558"/>
      <c r="H3991" s="559"/>
      <c r="I3991" s="559"/>
      <c r="J3991" s="559"/>
      <c r="K3991" s="560"/>
      <c r="L3991" s="560"/>
      <c r="M3991" s="560"/>
    </row>
    <row r="3992" spans="3:13" s="338" customFormat="1">
      <c r="C3992" s="558"/>
      <c r="D3992" s="559"/>
      <c r="E3992" s="559"/>
      <c r="F3992" s="559"/>
      <c r="G3992" s="558"/>
      <c r="H3992" s="559"/>
      <c r="I3992" s="559"/>
      <c r="J3992" s="559"/>
      <c r="K3992" s="560"/>
      <c r="L3992" s="560"/>
      <c r="M3992" s="560"/>
    </row>
    <row r="3993" spans="3:13" s="338" customFormat="1">
      <c r="C3993" s="558"/>
      <c r="D3993" s="559"/>
      <c r="E3993" s="559"/>
      <c r="F3993" s="559"/>
      <c r="G3993" s="558"/>
      <c r="H3993" s="559"/>
      <c r="I3993" s="559"/>
      <c r="J3993" s="559"/>
      <c r="K3993" s="560"/>
      <c r="L3993" s="560"/>
      <c r="M3993" s="560"/>
    </row>
    <row r="3994" spans="3:13" s="338" customFormat="1">
      <c r="C3994" s="558"/>
      <c r="D3994" s="559"/>
      <c r="E3994" s="559"/>
      <c r="F3994" s="559"/>
      <c r="G3994" s="558"/>
      <c r="H3994" s="559"/>
      <c r="I3994" s="559"/>
      <c r="J3994" s="559"/>
      <c r="K3994" s="560"/>
      <c r="L3994" s="560"/>
      <c r="M3994" s="560"/>
    </row>
    <row r="3995" spans="3:13" s="338" customFormat="1">
      <c r="C3995" s="558"/>
      <c r="D3995" s="559"/>
      <c r="E3995" s="559"/>
      <c r="F3995" s="559"/>
      <c r="G3995" s="558"/>
      <c r="H3995" s="559"/>
      <c r="I3995" s="559"/>
      <c r="J3995" s="559"/>
      <c r="K3995" s="560"/>
      <c r="L3995" s="560"/>
      <c r="M3995" s="560"/>
    </row>
    <row r="3996" spans="3:13" s="338" customFormat="1">
      <c r="C3996" s="558"/>
      <c r="D3996" s="559"/>
      <c r="E3996" s="559"/>
      <c r="F3996" s="559"/>
      <c r="G3996" s="558"/>
      <c r="H3996" s="559"/>
      <c r="I3996" s="559"/>
      <c r="J3996" s="559"/>
      <c r="K3996" s="560"/>
      <c r="L3996" s="560"/>
      <c r="M3996" s="560"/>
    </row>
    <row r="3997" spans="3:13" s="338" customFormat="1">
      <c r="C3997" s="558"/>
      <c r="D3997" s="559"/>
      <c r="E3997" s="559"/>
      <c r="F3997" s="559"/>
      <c r="G3997" s="558"/>
      <c r="H3997" s="559"/>
      <c r="I3997" s="559"/>
      <c r="J3997" s="559"/>
      <c r="K3997" s="560"/>
      <c r="L3997" s="560"/>
      <c r="M3997" s="560"/>
    </row>
    <row r="3998" spans="3:13" s="338" customFormat="1">
      <c r="C3998" s="558"/>
      <c r="D3998" s="559"/>
      <c r="E3998" s="559"/>
      <c r="F3998" s="559"/>
      <c r="G3998" s="558"/>
      <c r="H3998" s="559"/>
      <c r="I3998" s="559"/>
      <c r="J3998" s="559"/>
      <c r="K3998" s="560"/>
      <c r="L3998" s="560"/>
      <c r="M3998" s="560"/>
    </row>
    <row r="3999" spans="3:13" s="338" customFormat="1">
      <c r="C3999" s="558"/>
      <c r="D3999" s="559"/>
      <c r="E3999" s="559"/>
      <c r="F3999" s="559"/>
      <c r="G3999" s="558"/>
      <c r="H3999" s="559"/>
      <c r="I3999" s="559"/>
      <c r="J3999" s="559"/>
      <c r="K3999" s="560"/>
      <c r="L3999" s="560"/>
      <c r="M3999" s="560"/>
    </row>
    <row r="4000" spans="3:13" s="338" customFormat="1">
      <c r="C4000" s="558"/>
      <c r="D4000" s="559"/>
      <c r="E4000" s="559"/>
      <c r="F4000" s="559"/>
      <c r="G4000" s="558"/>
      <c r="H4000" s="559"/>
      <c r="I4000" s="559"/>
      <c r="J4000" s="559"/>
      <c r="K4000" s="560"/>
      <c r="L4000" s="560"/>
      <c r="M4000" s="560"/>
    </row>
    <row r="4001" spans="3:13" s="338" customFormat="1">
      <c r="C4001" s="558"/>
      <c r="D4001" s="559"/>
      <c r="E4001" s="559"/>
      <c r="F4001" s="559"/>
      <c r="G4001" s="558"/>
      <c r="H4001" s="559"/>
      <c r="I4001" s="559"/>
      <c r="J4001" s="559"/>
      <c r="K4001" s="560"/>
      <c r="L4001" s="560"/>
      <c r="M4001" s="560"/>
    </row>
    <row r="4002" spans="3:13" s="338" customFormat="1">
      <c r="C4002" s="558"/>
      <c r="D4002" s="559"/>
      <c r="E4002" s="559"/>
      <c r="F4002" s="559"/>
      <c r="G4002" s="558"/>
      <c r="H4002" s="559"/>
      <c r="I4002" s="559"/>
      <c r="J4002" s="559"/>
      <c r="K4002" s="560"/>
      <c r="L4002" s="560"/>
      <c r="M4002" s="560"/>
    </row>
    <row r="4003" spans="3:13" s="338" customFormat="1">
      <c r="C4003" s="558"/>
      <c r="D4003" s="559"/>
      <c r="E4003" s="559"/>
      <c r="F4003" s="559"/>
      <c r="G4003" s="558"/>
      <c r="H4003" s="559"/>
      <c r="I4003" s="559"/>
      <c r="J4003" s="559"/>
      <c r="K4003" s="560"/>
      <c r="L4003" s="560"/>
      <c r="M4003" s="560"/>
    </row>
    <row r="4004" spans="3:13" s="338" customFormat="1">
      <c r="C4004" s="558"/>
      <c r="D4004" s="559"/>
      <c r="E4004" s="559"/>
      <c r="F4004" s="559"/>
      <c r="G4004" s="558"/>
      <c r="H4004" s="559"/>
      <c r="I4004" s="559"/>
      <c r="J4004" s="559"/>
      <c r="K4004" s="560"/>
      <c r="L4004" s="560"/>
      <c r="M4004" s="560"/>
    </row>
    <row r="4005" spans="3:13" s="338" customFormat="1">
      <c r="C4005" s="558"/>
      <c r="D4005" s="559"/>
      <c r="E4005" s="559"/>
      <c r="F4005" s="559"/>
      <c r="G4005" s="558"/>
      <c r="H4005" s="559"/>
      <c r="I4005" s="559"/>
      <c r="J4005" s="559"/>
      <c r="K4005" s="560"/>
      <c r="L4005" s="560"/>
      <c r="M4005" s="560"/>
    </row>
    <row r="4006" spans="3:13" s="338" customFormat="1">
      <c r="C4006" s="558"/>
      <c r="D4006" s="559"/>
      <c r="E4006" s="559"/>
      <c r="F4006" s="559"/>
      <c r="G4006" s="558"/>
      <c r="H4006" s="559"/>
      <c r="I4006" s="559"/>
      <c r="J4006" s="559"/>
      <c r="K4006" s="560"/>
      <c r="L4006" s="560"/>
      <c r="M4006" s="560"/>
    </row>
    <row r="4007" spans="3:13" s="338" customFormat="1">
      <c r="C4007" s="558"/>
      <c r="D4007" s="559"/>
      <c r="E4007" s="559"/>
      <c r="F4007" s="559"/>
      <c r="G4007" s="558"/>
      <c r="H4007" s="559"/>
      <c r="I4007" s="559"/>
      <c r="J4007" s="559"/>
      <c r="K4007" s="560"/>
      <c r="L4007" s="560"/>
      <c r="M4007" s="560"/>
    </row>
    <row r="4008" spans="3:13" s="338" customFormat="1">
      <c r="C4008" s="558"/>
      <c r="D4008" s="559"/>
      <c r="E4008" s="559"/>
      <c r="F4008" s="559"/>
      <c r="G4008" s="558"/>
      <c r="H4008" s="559"/>
      <c r="I4008" s="559"/>
      <c r="J4008" s="559"/>
      <c r="K4008" s="560"/>
      <c r="L4008" s="560"/>
      <c r="M4008" s="560"/>
    </row>
    <row r="4009" spans="3:13" s="338" customFormat="1">
      <c r="C4009" s="558"/>
      <c r="D4009" s="559"/>
      <c r="E4009" s="559"/>
      <c r="F4009" s="559"/>
      <c r="G4009" s="558"/>
      <c r="H4009" s="559"/>
      <c r="I4009" s="559"/>
      <c r="J4009" s="559"/>
      <c r="K4009" s="560"/>
      <c r="L4009" s="560"/>
      <c r="M4009" s="560"/>
    </row>
    <row r="4010" spans="3:13" s="338" customFormat="1">
      <c r="C4010" s="558"/>
      <c r="D4010" s="559"/>
      <c r="E4010" s="559"/>
      <c r="F4010" s="559"/>
      <c r="G4010" s="558"/>
      <c r="H4010" s="559"/>
      <c r="I4010" s="559"/>
      <c r="J4010" s="559"/>
      <c r="K4010" s="560"/>
      <c r="L4010" s="560"/>
      <c r="M4010" s="560"/>
    </row>
    <row r="4011" spans="3:13" s="338" customFormat="1">
      <c r="C4011" s="558"/>
      <c r="D4011" s="559"/>
      <c r="E4011" s="559"/>
      <c r="F4011" s="559"/>
      <c r="G4011" s="558"/>
      <c r="H4011" s="559"/>
      <c r="I4011" s="559"/>
      <c r="J4011" s="559"/>
      <c r="K4011" s="560"/>
      <c r="L4011" s="560"/>
      <c r="M4011" s="560"/>
    </row>
    <row r="4012" spans="3:13" s="338" customFormat="1">
      <c r="C4012" s="558"/>
      <c r="D4012" s="559"/>
      <c r="E4012" s="559"/>
      <c r="F4012" s="559"/>
      <c r="G4012" s="558"/>
      <c r="H4012" s="559"/>
      <c r="I4012" s="559"/>
      <c r="J4012" s="559"/>
      <c r="K4012" s="560"/>
      <c r="L4012" s="560"/>
      <c r="M4012" s="560"/>
    </row>
    <row r="4013" spans="3:13" s="338" customFormat="1">
      <c r="C4013" s="558"/>
      <c r="D4013" s="559"/>
      <c r="E4013" s="559"/>
      <c r="F4013" s="559"/>
      <c r="G4013" s="558"/>
      <c r="H4013" s="559"/>
      <c r="I4013" s="559"/>
      <c r="J4013" s="559"/>
      <c r="K4013" s="560"/>
      <c r="L4013" s="560"/>
      <c r="M4013" s="560"/>
    </row>
    <row r="4014" spans="3:13" s="338" customFormat="1">
      <c r="C4014" s="558"/>
      <c r="D4014" s="559"/>
      <c r="E4014" s="559"/>
      <c r="F4014" s="559"/>
      <c r="G4014" s="558"/>
      <c r="H4014" s="559"/>
      <c r="I4014" s="559"/>
      <c r="J4014" s="559"/>
      <c r="K4014" s="560"/>
      <c r="L4014" s="560"/>
      <c r="M4014" s="560"/>
    </row>
    <row r="4015" spans="3:13" s="338" customFormat="1">
      <c r="C4015" s="558"/>
      <c r="D4015" s="559"/>
      <c r="E4015" s="559"/>
      <c r="F4015" s="559"/>
      <c r="G4015" s="558"/>
      <c r="H4015" s="559"/>
      <c r="I4015" s="559"/>
      <c r="J4015" s="559"/>
      <c r="K4015" s="560"/>
      <c r="L4015" s="560"/>
      <c r="M4015" s="560"/>
    </row>
    <row r="4016" spans="3:13" s="338" customFormat="1">
      <c r="C4016" s="558"/>
      <c r="D4016" s="559"/>
      <c r="E4016" s="559"/>
      <c r="F4016" s="559"/>
      <c r="G4016" s="558"/>
      <c r="H4016" s="559"/>
      <c r="I4016" s="559"/>
      <c r="J4016" s="559"/>
      <c r="K4016" s="560"/>
      <c r="L4016" s="560"/>
      <c r="M4016" s="560"/>
    </row>
    <row r="4017" spans="3:13" s="338" customFormat="1">
      <c r="C4017" s="558"/>
      <c r="D4017" s="559"/>
      <c r="E4017" s="559"/>
      <c r="F4017" s="559"/>
      <c r="G4017" s="558"/>
      <c r="H4017" s="559"/>
      <c r="I4017" s="559"/>
      <c r="J4017" s="559"/>
      <c r="K4017" s="560"/>
      <c r="L4017" s="560"/>
      <c r="M4017" s="560"/>
    </row>
    <row r="4018" spans="3:13" s="338" customFormat="1">
      <c r="C4018" s="558"/>
      <c r="D4018" s="559"/>
      <c r="E4018" s="559"/>
      <c r="F4018" s="559"/>
      <c r="G4018" s="558"/>
      <c r="H4018" s="559"/>
      <c r="I4018" s="559"/>
      <c r="J4018" s="559"/>
      <c r="K4018" s="560"/>
      <c r="L4018" s="560"/>
      <c r="M4018" s="560"/>
    </row>
    <row r="4019" spans="3:13" s="338" customFormat="1">
      <c r="C4019" s="558"/>
      <c r="D4019" s="559"/>
      <c r="E4019" s="559"/>
      <c r="F4019" s="559"/>
      <c r="G4019" s="558"/>
      <c r="H4019" s="559"/>
      <c r="I4019" s="559"/>
      <c r="J4019" s="559"/>
      <c r="K4019" s="560"/>
      <c r="L4019" s="560"/>
      <c r="M4019" s="560"/>
    </row>
    <row r="4020" spans="3:13" s="338" customFormat="1">
      <c r="C4020" s="558"/>
      <c r="D4020" s="559"/>
      <c r="E4020" s="559"/>
      <c r="F4020" s="559"/>
      <c r="G4020" s="558"/>
      <c r="H4020" s="559"/>
      <c r="I4020" s="559"/>
      <c r="J4020" s="559"/>
      <c r="K4020" s="560"/>
      <c r="L4020" s="560"/>
      <c r="M4020" s="560"/>
    </row>
    <row r="4021" spans="3:13" s="338" customFormat="1">
      <c r="C4021" s="558"/>
      <c r="D4021" s="559"/>
      <c r="E4021" s="559"/>
      <c r="F4021" s="559"/>
      <c r="G4021" s="558"/>
      <c r="H4021" s="559"/>
      <c r="I4021" s="559"/>
      <c r="J4021" s="559"/>
      <c r="K4021" s="560"/>
      <c r="L4021" s="560"/>
      <c r="M4021" s="560"/>
    </row>
    <row r="4022" spans="3:13" s="338" customFormat="1">
      <c r="C4022" s="558"/>
      <c r="D4022" s="559"/>
      <c r="E4022" s="559"/>
      <c r="F4022" s="559"/>
      <c r="G4022" s="558"/>
      <c r="H4022" s="559"/>
      <c r="I4022" s="559"/>
      <c r="J4022" s="559"/>
      <c r="K4022" s="560"/>
      <c r="L4022" s="560"/>
      <c r="M4022" s="560"/>
    </row>
    <row r="4023" spans="3:13" s="338" customFormat="1">
      <c r="C4023" s="558"/>
      <c r="D4023" s="559"/>
      <c r="E4023" s="559"/>
      <c r="F4023" s="559"/>
      <c r="G4023" s="558"/>
      <c r="H4023" s="559"/>
      <c r="I4023" s="559"/>
      <c r="J4023" s="559"/>
      <c r="K4023" s="560"/>
      <c r="L4023" s="560"/>
      <c r="M4023" s="560"/>
    </row>
    <row r="4024" spans="3:13" s="338" customFormat="1">
      <c r="C4024" s="558"/>
      <c r="D4024" s="559"/>
      <c r="E4024" s="559"/>
      <c r="F4024" s="559"/>
      <c r="G4024" s="558"/>
      <c r="H4024" s="559"/>
      <c r="I4024" s="559"/>
      <c r="J4024" s="559"/>
      <c r="K4024" s="560"/>
      <c r="L4024" s="560"/>
      <c r="M4024" s="560"/>
    </row>
    <row r="4025" spans="3:13" s="338" customFormat="1">
      <c r="C4025" s="558"/>
      <c r="D4025" s="559"/>
      <c r="E4025" s="559"/>
      <c r="F4025" s="559"/>
      <c r="G4025" s="558"/>
      <c r="H4025" s="559"/>
      <c r="I4025" s="559"/>
      <c r="J4025" s="559"/>
      <c r="K4025" s="560"/>
      <c r="L4025" s="560"/>
      <c r="M4025" s="560"/>
    </row>
    <row r="4026" spans="3:13" s="338" customFormat="1">
      <c r="C4026" s="558"/>
      <c r="D4026" s="559"/>
      <c r="E4026" s="559"/>
      <c r="F4026" s="559"/>
      <c r="G4026" s="558"/>
      <c r="H4026" s="559"/>
      <c r="I4026" s="559"/>
      <c r="J4026" s="559"/>
      <c r="K4026" s="560"/>
      <c r="L4026" s="560"/>
      <c r="M4026" s="560"/>
    </row>
    <row r="4027" spans="3:13" s="338" customFormat="1">
      <c r="C4027" s="558"/>
      <c r="D4027" s="559"/>
      <c r="E4027" s="559"/>
      <c r="F4027" s="559"/>
      <c r="G4027" s="558"/>
      <c r="H4027" s="559"/>
      <c r="I4027" s="559"/>
      <c r="J4027" s="559"/>
      <c r="K4027" s="560"/>
      <c r="L4027" s="560"/>
      <c r="M4027" s="560"/>
    </row>
    <row r="4028" spans="3:13" s="338" customFormat="1">
      <c r="C4028" s="558"/>
      <c r="D4028" s="559"/>
      <c r="E4028" s="559"/>
      <c r="F4028" s="559"/>
      <c r="G4028" s="558"/>
      <c r="H4028" s="559"/>
      <c r="I4028" s="559"/>
      <c r="J4028" s="559"/>
      <c r="K4028" s="560"/>
      <c r="L4028" s="560"/>
      <c r="M4028" s="560"/>
    </row>
    <row r="4029" spans="3:13" s="338" customFormat="1">
      <c r="C4029" s="558"/>
      <c r="D4029" s="559"/>
      <c r="E4029" s="559"/>
      <c r="F4029" s="559"/>
      <c r="G4029" s="558"/>
      <c r="H4029" s="559"/>
      <c r="I4029" s="559"/>
      <c r="J4029" s="559"/>
      <c r="K4029" s="560"/>
      <c r="L4029" s="560"/>
      <c r="M4029" s="560"/>
    </row>
    <row r="4030" spans="3:13" s="338" customFormat="1">
      <c r="C4030" s="558"/>
      <c r="D4030" s="559"/>
      <c r="E4030" s="559"/>
      <c r="F4030" s="559"/>
      <c r="G4030" s="558"/>
      <c r="H4030" s="559"/>
      <c r="I4030" s="559"/>
      <c r="J4030" s="559"/>
      <c r="K4030" s="560"/>
      <c r="L4030" s="560"/>
      <c r="M4030" s="560"/>
    </row>
    <row r="4031" spans="3:13" s="338" customFormat="1">
      <c r="C4031" s="558"/>
      <c r="D4031" s="559"/>
      <c r="E4031" s="559"/>
      <c r="F4031" s="559"/>
      <c r="G4031" s="558"/>
      <c r="H4031" s="559"/>
      <c r="I4031" s="559"/>
      <c r="J4031" s="559"/>
      <c r="K4031" s="560"/>
      <c r="L4031" s="560"/>
      <c r="M4031" s="560"/>
    </row>
    <row r="4032" spans="3:13" s="338" customFormat="1">
      <c r="C4032" s="558"/>
      <c r="D4032" s="559"/>
      <c r="E4032" s="559"/>
      <c r="F4032" s="559"/>
      <c r="G4032" s="558"/>
      <c r="H4032" s="559"/>
      <c r="I4032" s="559"/>
      <c r="J4032" s="559"/>
      <c r="K4032" s="560"/>
      <c r="L4032" s="560"/>
      <c r="M4032" s="560"/>
    </row>
    <row r="4033" spans="3:13" s="338" customFormat="1">
      <c r="C4033" s="558"/>
      <c r="D4033" s="559"/>
      <c r="E4033" s="559"/>
      <c r="F4033" s="559"/>
      <c r="G4033" s="558"/>
      <c r="H4033" s="559"/>
      <c r="I4033" s="559"/>
      <c r="J4033" s="559"/>
      <c r="K4033" s="560"/>
      <c r="L4033" s="560"/>
      <c r="M4033" s="560"/>
    </row>
    <row r="4034" spans="3:13" s="338" customFormat="1">
      <c r="C4034" s="558"/>
      <c r="D4034" s="559"/>
      <c r="E4034" s="559"/>
      <c r="F4034" s="559"/>
      <c r="G4034" s="558"/>
      <c r="H4034" s="559"/>
      <c r="I4034" s="559"/>
      <c r="J4034" s="559"/>
      <c r="K4034" s="560"/>
      <c r="L4034" s="560"/>
      <c r="M4034" s="560"/>
    </row>
    <row r="4035" spans="3:13" s="338" customFormat="1">
      <c r="C4035" s="558"/>
      <c r="D4035" s="559"/>
      <c r="E4035" s="559"/>
      <c r="F4035" s="559"/>
      <c r="G4035" s="558"/>
      <c r="H4035" s="559"/>
      <c r="I4035" s="559"/>
      <c r="J4035" s="559"/>
      <c r="K4035" s="560"/>
      <c r="L4035" s="560"/>
      <c r="M4035" s="560"/>
    </row>
    <row r="4036" spans="3:13" s="338" customFormat="1">
      <c r="C4036" s="558"/>
      <c r="D4036" s="559"/>
      <c r="E4036" s="559"/>
      <c r="F4036" s="559"/>
      <c r="G4036" s="558"/>
      <c r="H4036" s="559"/>
      <c r="I4036" s="559"/>
      <c r="J4036" s="559"/>
      <c r="K4036" s="560"/>
      <c r="L4036" s="560"/>
      <c r="M4036" s="560"/>
    </row>
    <row r="4037" spans="3:13" s="338" customFormat="1">
      <c r="C4037" s="558"/>
      <c r="D4037" s="559"/>
      <c r="E4037" s="559"/>
      <c r="F4037" s="559"/>
      <c r="G4037" s="558"/>
      <c r="H4037" s="559"/>
      <c r="I4037" s="559"/>
      <c r="J4037" s="559"/>
      <c r="K4037" s="560"/>
      <c r="L4037" s="560"/>
      <c r="M4037" s="560"/>
    </row>
    <row r="4038" spans="3:13" s="338" customFormat="1">
      <c r="C4038" s="558"/>
      <c r="D4038" s="559"/>
      <c r="E4038" s="559"/>
      <c r="F4038" s="559"/>
      <c r="G4038" s="558"/>
      <c r="H4038" s="559"/>
      <c r="I4038" s="559"/>
      <c r="J4038" s="559"/>
      <c r="K4038" s="560"/>
      <c r="L4038" s="560"/>
      <c r="M4038" s="560"/>
    </row>
    <row r="4039" spans="3:13" s="338" customFormat="1">
      <c r="C4039" s="558"/>
      <c r="D4039" s="559"/>
      <c r="E4039" s="559"/>
      <c r="F4039" s="559"/>
      <c r="G4039" s="558"/>
      <c r="H4039" s="559"/>
      <c r="I4039" s="559"/>
      <c r="J4039" s="559"/>
      <c r="K4039" s="560"/>
      <c r="L4039" s="560"/>
      <c r="M4039" s="560"/>
    </row>
    <row r="4040" spans="3:13" s="338" customFormat="1">
      <c r="C4040" s="558"/>
      <c r="D4040" s="559"/>
      <c r="E4040" s="559"/>
      <c r="F4040" s="559"/>
      <c r="G4040" s="558"/>
      <c r="H4040" s="559"/>
      <c r="I4040" s="559"/>
      <c r="J4040" s="559"/>
      <c r="K4040" s="560"/>
      <c r="L4040" s="560"/>
      <c r="M4040" s="560"/>
    </row>
    <row r="4041" spans="3:13" s="338" customFormat="1">
      <c r="C4041" s="558"/>
      <c r="D4041" s="559"/>
      <c r="E4041" s="559"/>
      <c r="F4041" s="559"/>
      <c r="G4041" s="558"/>
      <c r="H4041" s="559"/>
      <c r="I4041" s="559"/>
      <c r="J4041" s="559"/>
      <c r="K4041" s="560"/>
      <c r="L4041" s="560"/>
      <c r="M4041" s="560"/>
    </row>
    <row r="4042" spans="3:13" s="338" customFormat="1">
      <c r="C4042" s="558"/>
      <c r="D4042" s="559"/>
      <c r="E4042" s="559"/>
      <c r="F4042" s="559"/>
      <c r="G4042" s="558"/>
      <c r="H4042" s="559"/>
      <c r="I4042" s="559"/>
      <c r="J4042" s="559"/>
      <c r="K4042" s="560"/>
      <c r="L4042" s="560"/>
      <c r="M4042" s="560"/>
    </row>
    <row r="4043" spans="3:13" s="338" customFormat="1">
      <c r="C4043" s="558"/>
      <c r="D4043" s="559"/>
      <c r="E4043" s="559"/>
      <c r="F4043" s="559"/>
      <c r="G4043" s="558"/>
      <c r="H4043" s="559"/>
      <c r="I4043" s="559"/>
      <c r="J4043" s="559"/>
      <c r="K4043" s="560"/>
      <c r="L4043" s="560"/>
      <c r="M4043" s="560"/>
    </row>
    <row r="4044" spans="3:13" s="338" customFormat="1">
      <c r="C4044" s="558"/>
      <c r="D4044" s="559"/>
      <c r="E4044" s="559"/>
      <c r="F4044" s="559"/>
      <c r="G4044" s="558"/>
      <c r="H4044" s="559"/>
      <c r="I4044" s="559"/>
      <c r="J4044" s="559"/>
      <c r="K4044" s="560"/>
      <c r="L4044" s="560"/>
      <c r="M4044" s="560"/>
    </row>
    <row r="4045" spans="3:13" s="338" customFormat="1">
      <c r="C4045" s="558"/>
      <c r="D4045" s="559"/>
      <c r="E4045" s="559"/>
      <c r="F4045" s="559"/>
      <c r="G4045" s="558"/>
      <c r="H4045" s="559"/>
      <c r="I4045" s="559"/>
      <c r="J4045" s="559"/>
      <c r="K4045" s="560"/>
      <c r="L4045" s="560"/>
      <c r="M4045" s="560"/>
    </row>
    <row r="4046" spans="3:13" s="338" customFormat="1">
      <c r="C4046" s="558"/>
      <c r="D4046" s="559"/>
      <c r="E4046" s="559"/>
      <c r="F4046" s="559"/>
      <c r="G4046" s="558"/>
      <c r="H4046" s="559"/>
      <c r="I4046" s="559"/>
      <c r="J4046" s="559"/>
      <c r="K4046" s="560"/>
      <c r="L4046" s="560"/>
      <c r="M4046" s="560"/>
    </row>
    <row r="4047" spans="3:13" s="338" customFormat="1">
      <c r="C4047" s="558"/>
      <c r="D4047" s="559"/>
      <c r="E4047" s="559"/>
      <c r="F4047" s="559"/>
      <c r="G4047" s="558"/>
      <c r="H4047" s="559"/>
      <c r="I4047" s="559"/>
      <c r="J4047" s="559"/>
      <c r="K4047" s="560"/>
      <c r="L4047" s="560"/>
      <c r="M4047" s="560"/>
    </row>
    <row r="4048" spans="3:13" s="338" customFormat="1">
      <c r="C4048" s="558"/>
      <c r="D4048" s="559"/>
      <c r="E4048" s="559"/>
      <c r="F4048" s="559"/>
      <c r="G4048" s="558"/>
      <c r="H4048" s="559"/>
      <c r="I4048" s="559"/>
      <c r="J4048" s="559"/>
      <c r="K4048" s="560"/>
      <c r="L4048" s="560"/>
      <c r="M4048" s="560"/>
    </row>
    <row r="4049" spans="3:13" s="338" customFormat="1">
      <c r="C4049" s="558"/>
      <c r="D4049" s="559"/>
      <c r="E4049" s="559"/>
      <c r="F4049" s="559"/>
      <c r="G4049" s="558"/>
      <c r="H4049" s="559"/>
      <c r="I4049" s="559"/>
      <c r="J4049" s="559"/>
      <c r="K4049" s="560"/>
      <c r="L4049" s="560"/>
      <c r="M4049" s="560"/>
    </row>
    <row r="4050" spans="3:13" s="338" customFormat="1">
      <c r="C4050" s="558"/>
      <c r="D4050" s="559"/>
      <c r="E4050" s="559"/>
      <c r="F4050" s="559"/>
      <c r="G4050" s="558"/>
      <c r="H4050" s="559"/>
      <c r="I4050" s="559"/>
      <c r="J4050" s="559"/>
      <c r="K4050" s="560"/>
      <c r="L4050" s="560"/>
      <c r="M4050" s="560"/>
    </row>
    <row r="4051" spans="3:13" s="338" customFormat="1">
      <c r="C4051" s="558"/>
      <c r="D4051" s="559"/>
      <c r="E4051" s="559"/>
      <c r="F4051" s="559"/>
      <c r="G4051" s="558"/>
      <c r="H4051" s="559"/>
      <c r="I4051" s="559"/>
      <c r="J4051" s="559"/>
      <c r="K4051" s="560"/>
      <c r="L4051" s="560"/>
      <c r="M4051" s="560"/>
    </row>
    <row r="4052" spans="3:13" s="338" customFormat="1">
      <c r="C4052" s="558"/>
      <c r="D4052" s="559"/>
      <c r="E4052" s="559"/>
      <c r="F4052" s="559"/>
      <c r="G4052" s="558"/>
      <c r="H4052" s="559"/>
      <c r="I4052" s="559"/>
      <c r="J4052" s="559"/>
      <c r="K4052" s="560"/>
      <c r="L4052" s="560"/>
      <c r="M4052" s="560"/>
    </row>
    <row r="4053" spans="3:13" s="338" customFormat="1">
      <c r="C4053" s="558"/>
      <c r="D4053" s="559"/>
      <c r="E4053" s="559"/>
      <c r="F4053" s="559"/>
      <c r="G4053" s="558"/>
      <c r="H4053" s="559"/>
      <c r="I4053" s="559"/>
      <c r="J4053" s="559"/>
      <c r="K4053" s="560"/>
      <c r="L4053" s="560"/>
      <c r="M4053" s="560"/>
    </row>
    <row r="4054" spans="3:13" s="338" customFormat="1">
      <c r="C4054" s="558"/>
      <c r="D4054" s="559"/>
      <c r="E4054" s="559"/>
      <c r="F4054" s="559"/>
      <c r="G4054" s="558"/>
      <c r="H4054" s="559"/>
      <c r="I4054" s="559"/>
      <c r="J4054" s="559"/>
      <c r="K4054" s="560"/>
      <c r="L4054" s="560"/>
      <c r="M4054" s="560"/>
    </row>
    <row r="4055" spans="3:13" s="338" customFormat="1">
      <c r="C4055" s="558"/>
      <c r="D4055" s="559"/>
      <c r="E4055" s="559"/>
      <c r="F4055" s="559"/>
      <c r="G4055" s="558"/>
      <c r="H4055" s="559"/>
      <c r="I4055" s="559"/>
      <c r="J4055" s="559"/>
      <c r="K4055" s="560"/>
      <c r="L4055" s="560"/>
      <c r="M4055" s="560"/>
    </row>
    <row r="4056" spans="3:13" s="338" customFormat="1">
      <c r="C4056" s="558"/>
      <c r="D4056" s="559"/>
      <c r="E4056" s="559"/>
      <c r="F4056" s="559"/>
      <c r="G4056" s="558"/>
      <c r="H4056" s="559"/>
      <c r="I4056" s="559"/>
      <c r="J4056" s="559"/>
      <c r="K4056" s="560"/>
      <c r="L4056" s="560"/>
      <c r="M4056" s="560"/>
    </row>
    <row r="4057" spans="3:13" s="338" customFormat="1">
      <c r="C4057" s="558"/>
      <c r="D4057" s="559"/>
      <c r="E4057" s="559"/>
      <c r="F4057" s="559"/>
      <c r="G4057" s="558"/>
      <c r="H4057" s="559"/>
      <c r="I4057" s="559"/>
      <c r="J4057" s="559"/>
      <c r="K4057" s="560"/>
      <c r="L4057" s="560"/>
      <c r="M4057" s="560"/>
    </row>
    <row r="4058" spans="3:13" s="338" customFormat="1">
      <c r="C4058" s="558"/>
      <c r="D4058" s="559"/>
      <c r="E4058" s="559"/>
      <c r="F4058" s="559"/>
      <c r="G4058" s="558"/>
      <c r="H4058" s="559"/>
      <c r="I4058" s="559"/>
      <c r="J4058" s="559"/>
      <c r="K4058" s="560"/>
      <c r="L4058" s="560"/>
      <c r="M4058" s="560"/>
    </row>
    <row r="4059" spans="3:13" s="338" customFormat="1">
      <c r="C4059" s="558"/>
      <c r="D4059" s="559"/>
      <c r="E4059" s="559"/>
      <c r="F4059" s="559"/>
      <c r="G4059" s="558"/>
      <c r="H4059" s="559"/>
      <c r="I4059" s="559"/>
      <c r="J4059" s="559"/>
      <c r="K4059" s="560"/>
      <c r="L4059" s="560"/>
      <c r="M4059" s="560"/>
    </row>
    <row r="4060" spans="3:13" s="338" customFormat="1">
      <c r="C4060" s="558"/>
      <c r="D4060" s="559"/>
      <c r="E4060" s="559"/>
      <c r="F4060" s="559"/>
      <c r="G4060" s="558"/>
      <c r="H4060" s="559"/>
      <c r="I4060" s="559"/>
      <c r="J4060" s="559"/>
      <c r="K4060" s="560"/>
      <c r="L4060" s="560"/>
      <c r="M4060" s="560"/>
    </row>
    <row r="4061" spans="3:13" s="338" customFormat="1">
      <c r="C4061" s="558"/>
      <c r="D4061" s="559"/>
      <c r="E4061" s="559"/>
      <c r="F4061" s="559"/>
      <c r="G4061" s="558"/>
      <c r="H4061" s="559"/>
      <c r="I4061" s="559"/>
      <c r="J4061" s="559"/>
      <c r="K4061" s="560"/>
      <c r="L4061" s="560"/>
      <c r="M4061" s="560"/>
    </row>
    <row r="4062" spans="3:13" s="338" customFormat="1">
      <c r="C4062" s="558"/>
      <c r="D4062" s="559"/>
      <c r="E4062" s="559"/>
      <c r="F4062" s="559"/>
      <c r="G4062" s="558"/>
      <c r="H4062" s="559"/>
      <c r="I4062" s="559"/>
      <c r="J4062" s="559"/>
      <c r="K4062" s="560"/>
      <c r="L4062" s="560"/>
      <c r="M4062" s="560"/>
    </row>
    <row r="4063" spans="3:13" s="338" customFormat="1">
      <c r="C4063" s="558"/>
      <c r="D4063" s="559"/>
      <c r="E4063" s="559"/>
      <c r="F4063" s="559"/>
      <c r="G4063" s="558"/>
      <c r="H4063" s="559"/>
      <c r="I4063" s="559"/>
      <c r="J4063" s="559"/>
      <c r="K4063" s="560"/>
      <c r="L4063" s="560"/>
      <c r="M4063" s="560"/>
    </row>
    <row r="4064" spans="3:13" s="338" customFormat="1">
      <c r="C4064" s="558"/>
      <c r="D4064" s="559"/>
      <c r="E4064" s="559"/>
      <c r="F4064" s="559"/>
      <c r="G4064" s="558"/>
      <c r="H4064" s="559"/>
      <c r="I4064" s="559"/>
      <c r="J4064" s="559"/>
      <c r="K4064" s="560"/>
      <c r="L4064" s="560"/>
      <c r="M4064" s="560"/>
    </row>
    <row r="4065" spans="3:13" s="338" customFormat="1">
      <c r="C4065" s="558"/>
      <c r="D4065" s="559"/>
      <c r="E4065" s="559"/>
      <c r="F4065" s="559"/>
      <c r="G4065" s="558"/>
      <c r="H4065" s="559"/>
      <c r="I4065" s="559"/>
      <c r="J4065" s="559"/>
      <c r="K4065" s="560"/>
      <c r="L4065" s="560"/>
      <c r="M4065" s="560"/>
    </row>
    <row r="4066" spans="3:13" s="338" customFormat="1">
      <c r="C4066" s="558"/>
      <c r="D4066" s="559"/>
      <c r="E4066" s="559"/>
      <c r="F4066" s="559"/>
      <c r="G4066" s="558"/>
      <c r="H4066" s="559"/>
      <c r="I4066" s="559"/>
      <c r="J4066" s="559"/>
      <c r="K4066" s="560"/>
      <c r="L4066" s="560"/>
      <c r="M4066" s="560"/>
    </row>
    <row r="4067" spans="3:13" s="338" customFormat="1">
      <c r="C4067" s="558"/>
      <c r="D4067" s="559"/>
      <c r="E4067" s="559"/>
      <c r="F4067" s="559"/>
      <c r="G4067" s="558"/>
      <c r="H4067" s="559"/>
      <c r="I4067" s="559"/>
      <c r="J4067" s="559"/>
      <c r="K4067" s="560"/>
      <c r="L4067" s="560"/>
      <c r="M4067" s="560"/>
    </row>
    <row r="4068" spans="3:13" s="338" customFormat="1">
      <c r="C4068" s="558"/>
      <c r="D4068" s="559"/>
      <c r="E4068" s="559"/>
      <c r="F4068" s="559"/>
      <c r="G4068" s="558"/>
      <c r="H4068" s="559"/>
      <c r="I4068" s="559"/>
      <c r="J4068" s="559"/>
      <c r="K4068" s="560"/>
      <c r="L4068" s="560"/>
      <c r="M4068" s="560"/>
    </row>
    <row r="4069" spans="3:13" s="338" customFormat="1">
      <c r="C4069" s="558"/>
      <c r="D4069" s="559"/>
      <c r="E4069" s="559"/>
      <c r="F4069" s="559"/>
      <c r="G4069" s="558"/>
      <c r="H4069" s="559"/>
      <c r="I4069" s="559"/>
      <c r="J4069" s="559"/>
      <c r="K4069" s="560"/>
      <c r="L4069" s="560"/>
      <c r="M4069" s="560"/>
    </row>
    <row r="4070" spans="3:13" s="338" customFormat="1">
      <c r="C4070" s="558"/>
      <c r="D4070" s="559"/>
      <c r="E4070" s="559"/>
      <c r="F4070" s="559"/>
      <c r="G4070" s="558"/>
      <c r="H4070" s="559"/>
      <c r="I4070" s="559"/>
      <c r="J4070" s="559"/>
      <c r="K4070" s="560"/>
      <c r="L4070" s="560"/>
      <c r="M4070" s="560"/>
    </row>
    <row r="4071" spans="3:13" s="338" customFormat="1">
      <c r="C4071" s="558"/>
      <c r="D4071" s="559"/>
      <c r="E4071" s="559"/>
      <c r="F4071" s="559"/>
      <c r="G4071" s="558"/>
      <c r="H4071" s="559"/>
      <c r="I4071" s="559"/>
      <c r="J4071" s="559"/>
      <c r="K4071" s="560"/>
      <c r="L4071" s="560"/>
      <c r="M4071" s="560"/>
    </row>
    <row r="4072" spans="3:13" s="338" customFormat="1">
      <c r="C4072" s="558"/>
      <c r="D4072" s="559"/>
      <c r="E4072" s="559"/>
      <c r="F4072" s="559"/>
      <c r="G4072" s="558"/>
      <c r="H4072" s="559"/>
      <c r="I4072" s="559"/>
      <c r="J4072" s="559"/>
      <c r="K4072" s="560"/>
      <c r="L4072" s="560"/>
      <c r="M4072" s="560"/>
    </row>
    <row r="4073" spans="3:13" s="338" customFormat="1">
      <c r="C4073" s="558"/>
      <c r="D4073" s="559"/>
      <c r="E4073" s="559"/>
      <c r="F4073" s="559"/>
      <c r="G4073" s="558"/>
      <c r="H4073" s="559"/>
      <c r="I4073" s="559"/>
      <c r="J4073" s="559"/>
      <c r="K4073" s="560"/>
      <c r="L4073" s="560"/>
      <c r="M4073" s="560"/>
    </row>
    <row r="4074" spans="3:13" s="338" customFormat="1">
      <c r="C4074" s="558"/>
      <c r="D4074" s="559"/>
      <c r="E4074" s="559"/>
      <c r="F4074" s="559"/>
      <c r="G4074" s="558"/>
      <c r="H4074" s="559"/>
      <c r="I4074" s="559"/>
      <c r="J4074" s="559"/>
      <c r="K4074" s="560"/>
      <c r="L4074" s="560"/>
      <c r="M4074" s="560"/>
    </row>
    <row r="4075" spans="3:13" s="338" customFormat="1">
      <c r="C4075" s="558"/>
      <c r="D4075" s="559"/>
      <c r="E4075" s="559"/>
      <c r="F4075" s="559"/>
      <c r="G4075" s="558"/>
      <c r="H4075" s="559"/>
      <c r="I4075" s="559"/>
      <c r="J4075" s="559"/>
      <c r="K4075" s="560"/>
      <c r="L4075" s="560"/>
      <c r="M4075" s="560"/>
    </row>
    <row r="4076" spans="3:13" s="338" customFormat="1">
      <c r="C4076" s="558"/>
      <c r="D4076" s="559"/>
      <c r="E4076" s="559"/>
      <c r="F4076" s="559"/>
      <c r="G4076" s="558"/>
      <c r="H4076" s="559"/>
      <c r="I4076" s="559"/>
      <c r="J4076" s="559"/>
      <c r="K4076" s="560"/>
      <c r="L4076" s="560"/>
      <c r="M4076" s="560"/>
    </row>
    <row r="4077" spans="3:13" s="338" customFormat="1">
      <c r="C4077" s="558"/>
      <c r="D4077" s="559"/>
      <c r="E4077" s="559"/>
      <c r="F4077" s="559"/>
      <c r="G4077" s="558"/>
      <c r="H4077" s="559"/>
      <c r="I4077" s="559"/>
      <c r="J4077" s="559"/>
      <c r="K4077" s="560"/>
      <c r="L4077" s="560"/>
      <c r="M4077" s="560"/>
    </row>
    <row r="4078" spans="3:13" s="338" customFormat="1">
      <c r="C4078" s="558"/>
      <c r="D4078" s="559"/>
      <c r="E4078" s="559"/>
      <c r="F4078" s="559"/>
      <c r="G4078" s="558"/>
      <c r="H4078" s="559"/>
      <c r="I4078" s="559"/>
      <c r="J4078" s="559"/>
      <c r="K4078" s="560"/>
      <c r="L4078" s="560"/>
      <c r="M4078" s="560"/>
    </row>
    <row r="4079" spans="3:13" s="338" customFormat="1">
      <c r="C4079" s="558"/>
      <c r="D4079" s="559"/>
      <c r="E4079" s="559"/>
      <c r="F4079" s="559"/>
      <c r="G4079" s="558"/>
      <c r="H4079" s="559"/>
      <c r="I4079" s="559"/>
      <c r="J4079" s="559"/>
      <c r="K4079" s="560"/>
      <c r="L4079" s="560"/>
      <c r="M4079" s="560"/>
    </row>
    <row r="4080" spans="3:13" s="338" customFormat="1">
      <c r="C4080" s="558"/>
      <c r="D4080" s="559"/>
      <c r="E4080" s="559"/>
      <c r="F4080" s="559"/>
      <c r="G4080" s="558"/>
      <c r="H4080" s="559"/>
      <c r="I4080" s="559"/>
      <c r="J4080" s="559"/>
      <c r="K4080" s="560"/>
      <c r="L4080" s="560"/>
      <c r="M4080" s="560"/>
    </row>
    <row r="4081" spans="3:13" s="338" customFormat="1">
      <c r="C4081" s="558"/>
      <c r="D4081" s="559"/>
      <c r="E4081" s="559"/>
      <c r="F4081" s="559"/>
      <c r="G4081" s="558"/>
      <c r="H4081" s="559"/>
      <c r="I4081" s="559"/>
      <c r="J4081" s="559"/>
      <c r="K4081" s="560"/>
      <c r="L4081" s="560"/>
      <c r="M4081" s="560"/>
    </row>
    <row r="4082" spans="3:13" s="338" customFormat="1">
      <c r="C4082" s="558"/>
      <c r="D4082" s="559"/>
      <c r="E4082" s="559"/>
      <c r="F4082" s="559"/>
      <c r="G4082" s="558"/>
      <c r="H4082" s="559"/>
      <c r="I4082" s="559"/>
      <c r="J4082" s="559"/>
      <c r="K4082" s="560"/>
      <c r="L4082" s="560"/>
      <c r="M4082" s="560"/>
    </row>
    <row r="4083" spans="3:13" s="338" customFormat="1">
      <c r="C4083" s="558"/>
      <c r="D4083" s="559"/>
      <c r="E4083" s="559"/>
      <c r="F4083" s="559"/>
      <c r="G4083" s="558"/>
      <c r="H4083" s="559"/>
      <c r="I4083" s="559"/>
      <c r="J4083" s="559"/>
      <c r="K4083" s="560"/>
      <c r="L4083" s="560"/>
      <c r="M4083" s="560"/>
    </row>
    <row r="4084" spans="3:13" s="338" customFormat="1">
      <c r="C4084" s="558"/>
      <c r="D4084" s="559"/>
      <c r="E4084" s="559"/>
      <c r="F4084" s="559"/>
      <c r="G4084" s="558"/>
      <c r="H4084" s="559"/>
      <c r="I4084" s="559"/>
      <c r="J4084" s="559"/>
      <c r="K4084" s="560"/>
      <c r="L4084" s="560"/>
      <c r="M4084" s="560"/>
    </row>
    <row r="4085" spans="3:13" s="338" customFormat="1">
      <c r="C4085" s="558"/>
      <c r="D4085" s="559"/>
      <c r="E4085" s="559"/>
      <c r="F4085" s="559"/>
      <c r="G4085" s="558"/>
      <c r="H4085" s="559"/>
      <c r="I4085" s="559"/>
      <c r="J4085" s="559"/>
      <c r="K4085" s="560"/>
      <c r="L4085" s="560"/>
      <c r="M4085" s="560"/>
    </row>
    <row r="4086" spans="3:13" s="338" customFormat="1">
      <c r="C4086" s="558"/>
      <c r="D4086" s="559"/>
      <c r="E4086" s="559"/>
      <c r="F4086" s="559"/>
      <c r="G4086" s="558"/>
      <c r="H4086" s="559"/>
      <c r="I4086" s="559"/>
      <c r="J4086" s="559"/>
      <c r="K4086" s="560"/>
      <c r="L4086" s="560"/>
      <c r="M4086" s="560"/>
    </row>
    <row r="4087" spans="3:13" s="338" customFormat="1">
      <c r="C4087" s="558"/>
      <c r="D4087" s="559"/>
      <c r="E4087" s="559"/>
      <c r="F4087" s="559"/>
      <c r="G4087" s="558"/>
      <c r="H4087" s="559"/>
      <c r="I4087" s="559"/>
      <c r="J4087" s="559"/>
      <c r="K4087" s="560"/>
      <c r="L4087" s="560"/>
      <c r="M4087" s="560"/>
    </row>
    <row r="4088" spans="3:13" s="338" customFormat="1">
      <c r="C4088" s="558"/>
      <c r="D4088" s="559"/>
      <c r="E4088" s="559"/>
      <c r="F4088" s="559"/>
      <c r="G4088" s="558"/>
      <c r="H4088" s="559"/>
      <c r="I4088" s="559"/>
      <c r="J4088" s="559"/>
      <c r="K4088" s="560"/>
      <c r="L4088" s="560"/>
      <c r="M4088" s="560"/>
    </row>
    <row r="4089" spans="3:13" s="338" customFormat="1">
      <c r="C4089" s="558"/>
      <c r="D4089" s="559"/>
      <c r="E4089" s="559"/>
      <c r="F4089" s="559"/>
      <c r="G4089" s="558"/>
      <c r="H4089" s="559"/>
      <c r="I4089" s="559"/>
      <c r="J4089" s="559"/>
      <c r="K4089" s="560"/>
      <c r="L4089" s="560"/>
      <c r="M4089" s="560"/>
    </row>
    <row r="4090" spans="3:13" s="338" customFormat="1">
      <c r="C4090" s="558"/>
      <c r="D4090" s="559"/>
      <c r="E4090" s="559"/>
      <c r="F4090" s="559"/>
      <c r="G4090" s="558"/>
      <c r="H4090" s="559"/>
      <c r="I4090" s="559"/>
      <c r="J4090" s="559"/>
      <c r="K4090" s="560"/>
      <c r="L4090" s="560"/>
      <c r="M4090" s="560"/>
    </row>
    <row r="4091" spans="3:13" s="338" customFormat="1">
      <c r="C4091" s="558"/>
      <c r="D4091" s="559"/>
      <c r="E4091" s="559"/>
      <c r="F4091" s="559"/>
      <c r="G4091" s="558"/>
      <c r="H4091" s="559"/>
      <c r="I4091" s="559"/>
      <c r="J4091" s="559"/>
      <c r="K4091" s="560"/>
      <c r="L4091" s="560"/>
      <c r="M4091" s="560"/>
    </row>
    <row r="4092" spans="3:13" s="338" customFormat="1">
      <c r="C4092" s="558"/>
      <c r="D4092" s="559"/>
      <c r="E4092" s="559"/>
      <c r="F4092" s="559"/>
      <c r="G4092" s="558"/>
      <c r="H4092" s="559"/>
      <c r="I4092" s="559"/>
      <c r="J4092" s="559"/>
      <c r="K4092" s="560"/>
      <c r="L4092" s="560"/>
      <c r="M4092" s="560"/>
    </row>
    <row r="4093" spans="3:13" s="338" customFormat="1">
      <c r="C4093" s="558"/>
      <c r="D4093" s="559"/>
      <c r="E4093" s="559"/>
      <c r="F4093" s="559"/>
      <c r="G4093" s="558"/>
      <c r="H4093" s="559"/>
      <c r="I4093" s="559"/>
      <c r="J4093" s="559"/>
      <c r="K4093" s="560"/>
      <c r="L4093" s="560"/>
      <c r="M4093" s="560"/>
    </row>
    <row r="4094" spans="3:13" s="338" customFormat="1">
      <c r="C4094" s="558"/>
      <c r="D4094" s="559"/>
      <c r="E4094" s="559"/>
      <c r="F4094" s="559"/>
      <c r="G4094" s="558"/>
      <c r="H4094" s="559"/>
      <c r="I4094" s="559"/>
      <c r="J4094" s="559"/>
      <c r="K4094" s="560"/>
      <c r="L4094" s="560"/>
      <c r="M4094" s="560"/>
    </row>
    <row r="4095" spans="3:13" s="338" customFormat="1">
      <c r="C4095" s="558"/>
      <c r="D4095" s="559"/>
      <c r="E4095" s="559"/>
      <c r="F4095" s="559"/>
      <c r="G4095" s="558"/>
      <c r="H4095" s="559"/>
      <c r="I4095" s="559"/>
      <c r="J4095" s="559"/>
      <c r="K4095" s="560"/>
      <c r="L4095" s="560"/>
      <c r="M4095" s="560"/>
    </row>
    <row r="4096" spans="3:13" s="338" customFormat="1">
      <c r="C4096" s="558"/>
      <c r="D4096" s="559"/>
      <c r="E4096" s="559"/>
      <c r="F4096" s="559"/>
      <c r="G4096" s="558"/>
      <c r="H4096" s="559"/>
      <c r="I4096" s="559"/>
      <c r="J4096" s="559"/>
      <c r="K4096" s="560"/>
      <c r="L4096" s="560"/>
      <c r="M4096" s="560"/>
    </row>
    <row r="4097" spans="3:13" s="338" customFormat="1">
      <c r="C4097" s="558"/>
      <c r="D4097" s="559"/>
      <c r="E4097" s="559"/>
      <c r="F4097" s="559"/>
      <c r="G4097" s="558"/>
      <c r="H4097" s="559"/>
      <c r="I4097" s="559"/>
      <c r="J4097" s="559"/>
      <c r="K4097" s="560"/>
      <c r="L4097" s="560"/>
      <c r="M4097" s="560"/>
    </row>
    <row r="4098" spans="3:13" s="338" customFormat="1">
      <c r="C4098" s="558"/>
      <c r="D4098" s="559"/>
      <c r="E4098" s="559"/>
      <c r="F4098" s="559"/>
      <c r="G4098" s="558"/>
      <c r="H4098" s="559"/>
      <c r="I4098" s="559"/>
      <c r="J4098" s="559"/>
      <c r="K4098" s="560"/>
      <c r="L4098" s="560"/>
      <c r="M4098" s="560"/>
    </row>
    <row r="4099" spans="3:13" s="338" customFormat="1">
      <c r="C4099" s="558"/>
      <c r="D4099" s="559"/>
      <c r="E4099" s="559"/>
      <c r="F4099" s="559"/>
      <c r="G4099" s="558"/>
      <c r="H4099" s="559"/>
      <c r="I4099" s="559"/>
      <c r="J4099" s="559"/>
      <c r="K4099" s="560"/>
      <c r="L4099" s="560"/>
      <c r="M4099" s="560"/>
    </row>
    <row r="4100" spans="3:13" s="338" customFormat="1">
      <c r="C4100" s="558"/>
      <c r="D4100" s="559"/>
      <c r="E4100" s="559"/>
      <c r="F4100" s="559"/>
      <c r="G4100" s="558"/>
      <c r="H4100" s="559"/>
      <c r="I4100" s="559"/>
      <c r="J4100" s="559"/>
      <c r="K4100" s="560"/>
      <c r="L4100" s="560"/>
      <c r="M4100" s="560"/>
    </row>
    <row r="4101" spans="3:13" s="338" customFormat="1">
      <c r="C4101" s="558"/>
      <c r="D4101" s="559"/>
      <c r="E4101" s="559"/>
      <c r="F4101" s="559"/>
      <c r="G4101" s="558"/>
      <c r="H4101" s="559"/>
      <c r="I4101" s="559"/>
      <c r="J4101" s="559"/>
      <c r="K4101" s="560"/>
      <c r="L4101" s="560"/>
      <c r="M4101" s="560"/>
    </row>
    <row r="4102" spans="3:13" s="338" customFormat="1">
      <c r="C4102" s="558"/>
      <c r="D4102" s="559"/>
      <c r="E4102" s="559"/>
      <c r="F4102" s="559"/>
      <c r="G4102" s="558"/>
      <c r="H4102" s="559"/>
      <c r="I4102" s="559"/>
      <c r="J4102" s="559"/>
      <c r="K4102" s="560"/>
      <c r="L4102" s="560"/>
      <c r="M4102" s="560"/>
    </row>
    <row r="4103" spans="3:13" s="338" customFormat="1">
      <c r="C4103" s="558"/>
      <c r="D4103" s="559"/>
      <c r="E4103" s="559"/>
      <c r="F4103" s="559"/>
      <c r="G4103" s="558"/>
      <c r="H4103" s="559"/>
      <c r="I4103" s="559"/>
      <c r="J4103" s="559"/>
      <c r="K4103" s="560"/>
      <c r="L4103" s="560"/>
      <c r="M4103" s="560"/>
    </row>
    <row r="4104" spans="3:13" s="338" customFormat="1">
      <c r="C4104" s="558"/>
      <c r="D4104" s="559"/>
      <c r="E4104" s="559"/>
      <c r="F4104" s="559"/>
      <c r="G4104" s="558"/>
      <c r="H4104" s="559"/>
      <c r="I4104" s="559"/>
      <c r="J4104" s="559"/>
      <c r="K4104" s="560"/>
      <c r="L4104" s="560"/>
      <c r="M4104" s="560"/>
    </row>
    <row r="4105" spans="3:13" s="338" customFormat="1">
      <c r="C4105" s="558"/>
      <c r="D4105" s="559"/>
      <c r="E4105" s="559"/>
      <c r="F4105" s="559"/>
      <c r="G4105" s="558"/>
      <c r="H4105" s="559"/>
      <c r="I4105" s="559"/>
      <c r="J4105" s="559"/>
      <c r="K4105" s="560"/>
      <c r="L4105" s="560"/>
      <c r="M4105" s="560"/>
    </row>
    <row r="4106" spans="3:13" s="338" customFormat="1">
      <c r="C4106" s="558"/>
      <c r="D4106" s="559"/>
      <c r="E4106" s="559"/>
      <c r="F4106" s="559"/>
      <c r="G4106" s="558"/>
      <c r="H4106" s="559"/>
      <c r="I4106" s="559"/>
      <c r="J4106" s="559"/>
      <c r="K4106" s="560"/>
      <c r="L4106" s="560"/>
      <c r="M4106" s="560"/>
    </row>
    <row r="4107" spans="3:13" s="338" customFormat="1">
      <c r="C4107" s="558"/>
      <c r="D4107" s="559"/>
      <c r="E4107" s="559"/>
      <c r="F4107" s="559"/>
      <c r="G4107" s="558"/>
      <c r="H4107" s="559"/>
      <c r="I4107" s="559"/>
      <c r="J4107" s="559"/>
      <c r="K4107" s="560"/>
      <c r="L4107" s="560"/>
      <c r="M4107" s="560"/>
    </row>
    <row r="4108" spans="3:13" s="338" customFormat="1">
      <c r="C4108" s="558"/>
      <c r="D4108" s="559"/>
      <c r="E4108" s="559"/>
      <c r="F4108" s="559"/>
      <c r="G4108" s="558"/>
      <c r="H4108" s="559"/>
      <c r="I4108" s="559"/>
      <c r="J4108" s="559"/>
      <c r="K4108" s="560"/>
      <c r="L4108" s="560"/>
      <c r="M4108" s="560"/>
    </row>
    <row r="4109" spans="3:13" s="338" customFormat="1">
      <c r="C4109" s="558"/>
      <c r="D4109" s="559"/>
      <c r="E4109" s="559"/>
      <c r="F4109" s="559"/>
      <c r="G4109" s="558"/>
      <c r="H4109" s="559"/>
      <c r="I4109" s="559"/>
      <c r="J4109" s="559"/>
      <c r="K4109" s="560"/>
      <c r="L4109" s="560"/>
      <c r="M4109" s="560"/>
    </row>
    <row r="4110" spans="3:13" s="338" customFormat="1">
      <c r="C4110" s="558"/>
      <c r="D4110" s="559"/>
      <c r="E4110" s="559"/>
      <c r="F4110" s="559"/>
      <c r="G4110" s="558"/>
      <c r="H4110" s="559"/>
      <c r="I4110" s="559"/>
      <c r="J4110" s="559"/>
      <c r="K4110" s="560"/>
      <c r="L4110" s="560"/>
      <c r="M4110" s="560"/>
    </row>
    <row r="4111" spans="3:13" s="338" customFormat="1">
      <c r="C4111" s="558"/>
      <c r="D4111" s="559"/>
      <c r="E4111" s="559"/>
      <c r="F4111" s="559"/>
      <c r="G4111" s="558"/>
      <c r="H4111" s="559"/>
      <c r="I4111" s="559"/>
      <c r="J4111" s="559"/>
      <c r="K4111" s="560"/>
      <c r="L4111" s="560"/>
      <c r="M4111" s="560"/>
    </row>
    <row r="4112" spans="3:13" s="338" customFormat="1">
      <c r="C4112" s="558"/>
      <c r="D4112" s="559"/>
      <c r="E4112" s="559"/>
      <c r="F4112" s="559"/>
      <c r="G4112" s="558"/>
      <c r="H4112" s="559"/>
      <c r="I4112" s="559"/>
      <c r="J4112" s="559"/>
      <c r="K4112" s="560"/>
      <c r="L4112" s="560"/>
      <c r="M4112" s="560"/>
    </row>
    <row r="4113" spans="3:13" s="338" customFormat="1">
      <c r="C4113" s="558"/>
      <c r="D4113" s="559"/>
      <c r="E4113" s="559"/>
      <c r="F4113" s="559"/>
      <c r="G4113" s="558"/>
      <c r="H4113" s="559"/>
      <c r="I4113" s="559"/>
      <c r="J4113" s="559"/>
      <c r="K4113" s="560"/>
      <c r="L4113" s="560"/>
      <c r="M4113" s="560"/>
    </row>
    <row r="4114" spans="3:13" s="338" customFormat="1">
      <c r="C4114" s="558"/>
      <c r="D4114" s="559"/>
      <c r="E4114" s="559"/>
      <c r="F4114" s="559"/>
      <c r="G4114" s="558"/>
      <c r="H4114" s="559"/>
      <c r="I4114" s="559"/>
      <c r="J4114" s="559"/>
      <c r="K4114" s="560"/>
      <c r="L4114" s="560"/>
      <c r="M4114" s="560"/>
    </row>
    <row r="4115" spans="3:13" s="338" customFormat="1">
      <c r="C4115" s="558"/>
      <c r="D4115" s="559"/>
      <c r="E4115" s="559"/>
      <c r="F4115" s="559"/>
      <c r="G4115" s="558"/>
      <c r="H4115" s="559"/>
      <c r="I4115" s="559"/>
      <c r="J4115" s="559"/>
      <c r="K4115" s="560"/>
      <c r="L4115" s="560"/>
      <c r="M4115" s="560"/>
    </row>
    <row r="4116" spans="3:13" s="338" customFormat="1">
      <c r="C4116" s="558"/>
      <c r="D4116" s="559"/>
      <c r="E4116" s="559"/>
      <c r="F4116" s="559"/>
      <c r="G4116" s="558"/>
      <c r="H4116" s="559"/>
      <c r="I4116" s="559"/>
      <c r="J4116" s="559"/>
      <c r="K4116" s="560"/>
      <c r="L4116" s="560"/>
      <c r="M4116" s="560"/>
    </row>
    <row r="4117" spans="3:13" s="338" customFormat="1">
      <c r="C4117" s="558"/>
      <c r="D4117" s="559"/>
      <c r="E4117" s="559"/>
      <c r="F4117" s="559"/>
      <c r="G4117" s="558"/>
      <c r="H4117" s="559"/>
      <c r="I4117" s="559"/>
      <c r="J4117" s="559"/>
      <c r="K4117" s="560"/>
      <c r="L4117" s="560"/>
      <c r="M4117" s="560"/>
    </row>
    <row r="4118" spans="3:13" s="338" customFormat="1">
      <c r="C4118" s="558"/>
      <c r="D4118" s="559"/>
      <c r="E4118" s="559"/>
      <c r="F4118" s="559"/>
      <c r="G4118" s="558"/>
      <c r="H4118" s="559"/>
      <c r="I4118" s="559"/>
      <c r="J4118" s="559"/>
      <c r="K4118" s="560"/>
      <c r="L4118" s="560"/>
      <c r="M4118" s="560"/>
    </row>
    <row r="4119" spans="3:13" s="338" customFormat="1">
      <c r="C4119" s="558"/>
      <c r="D4119" s="559"/>
      <c r="E4119" s="559"/>
      <c r="F4119" s="559"/>
      <c r="G4119" s="558"/>
      <c r="H4119" s="559"/>
      <c r="I4119" s="559"/>
      <c r="J4119" s="559"/>
      <c r="K4119" s="560"/>
      <c r="L4119" s="560"/>
      <c r="M4119" s="560"/>
    </row>
    <row r="4120" spans="3:13" s="338" customFormat="1">
      <c r="C4120" s="558"/>
      <c r="D4120" s="559"/>
      <c r="E4120" s="559"/>
      <c r="F4120" s="559"/>
      <c r="G4120" s="558"/>
      <c r="H4120" s="559"/>
      <c r="I4120" s="559"/>
      <c r="J4120" s="559"/>
      <c r="K4120" s="560"/>
      <c r="L4120" s="560"/>
      <c r="M4120" s="560"/>
    </row>
    <row r="4121" spans="3:13" s="338" customFormat="1">
      <c r="C4121" s="558"/>
      <c r="D4121" s="559"/>
      <c r="E4121" s="559"/>
      <c r="F4121" s="559"/>
      <c r="G4121" s="558"/>
      <c r="H4121" s="559"/>
      <c r="I4121" s="559"/>
      <c r="J4121" s="559"/>
      <c r="K4121" s="560"/>
      <c r="L4121" s="560"/>
      <c r="M4121" s="560"/>
    </row>
    <row r="4122" spans="3:13" s="338" customFormat="1">
      <c r="C4122" s="558"/>
      <c r="D4122" s="559"/>
      <c r="E4122" s="559"/>
      <c r="F4122" s="559"/>
      <c r="G4122" s="558"/>
      <c r="H4122" s="559"/>
      <c r="I4122" s="559"/>
      <c r="J4122" s="559"/>
      <c r="K4122" s="560"/>
      <c r="L4122" s="560"/>
      <c r="M4122" s="560"/>
    </row>
    <row r="4123" spans="3:13" s="338" customFormat="1">
      <c r="C4123" s="558"/>
      <c r="D4123" s="559"/>
      <c r="E4123" s="559"/>
      <c r="F4123" s="559"/>
      <c r="G4123" s="558"/>
      <c r="H4123" s="559"/>
      <c r="I4123" s="559"/>
      <c r="J4123" s="559"/>
      <c r="K4123" s="560"/>
      <c r="L4123" s="560"/>
      <c r="M4123" s="560"/>
    </row>
    <row r="4124" spans="3:13" s="338" customFormat="1">
      <c r="C4124" s="558"/>
      <c r="D4124" s="559"/>
      <c r="E4124" s="559"/>
      <c r="F4124" s="559"/>
      <c r="G4124" s="558"/>
      <c r="H4124" s="559"/>
      <c r="I4124" s="559"/>
      <c r="J4124" s="559"/>
      <c r="K4124" s="560"/>
      <c r="L4124" s="560"/>
      <c r="M4124" s="560"/>
    </row>
    <row r="4125" spans="3:13" s="338" customFormat="1">
      <c r="C4125" s="558"/>
      <c r="D4125" s="559"/>
      <c r="E4125" s="559"/>
      <c r="F4125" s="559"/>
      <c r="G4125" s="558"/>
      <c r="H4125" s="559"/>
      <c r="I4125" s="559"/>
      <c r="J4125" s="559"/>
      <c r="K4125" s="560"/>
      <c r="L4125" s="560"/>
      <c r="M4125" s="560"/>
    </row>
    <row r="4126" spans="3:13" s="338" customFormat="1">
      <c r="C4126" s="558"/>
      <c r="D4126" s="559"/>
      <c r="E4126" s="559"/>
      <c r="F4126" s="559"/>
      <c r="G4126" s="558"/>
      <c r="H4126" s="559"/>
      <c r="I4126" s="559"/>
      <c r="J4126" s="559"/>
      <c r="K4126" s="560"/>
      <c r="L4126" s="560"/>
      <c r="M4126" s="560"/>
    </row>
    <row r="4127" spans="3:13" s="338" customFormat="1">
      <c r="C4127" s="558"/>
      <c r="D4127" s="559"/>
      <c r="E4127" s="559"/>
      <c r="F4127" s="559"/>
      <c r="G4127" s="558"/>
      <c r="H4127" s="559"/>
      <c r="I4127" s="559"/>
      <c r="J4127" s="559"/>
      <c r="K4127" s="560"/>
      <c r="L4127" s="560"/>
      <c r="M4127" s="560"/>
    </row>
    <row r="4128" spans="3:13" s="338" customFormat="1">
      <c r="C4128" s="558"/>
      <c r="D4128" s="559"/>
      <c r="E4128" s="559"/>
      <c r="F4128" s="559"/>
      <c r="G4128" s="558"/>
      <c r="H4128" s="559"/>
      <c r="I4128" s="559"/>
      <c r="J4128" s="559"/>
      <c r="K4128" s="560"/>
      <c r="L4128" s="560"/>
      <c r="M4128" s="560"/>
    </row>
    <row r="4129" spans="3:13" s="338" customFormat="1">
      <c r="C4129" s="558"/>
      <c r="D4129" s="559"/>
      <c r="E4129" s="559"/>
      <c r="F4129" s="559"/>
      <c r="G4129" s="558"/>
      <c r="H4129" s="559"/>
      <c r="I4129" s="559"/>
      <c r="J4129" s="559"/>
      <c r="K4129" s="560"/>
      <c r="L4129" s="560"/>
      <c r="M4129" s="560"/>
    </row>
    <row r="4130" spans="3:13" s="338" customFormat="1">
      <c r="C4130" s="558"/>
      <c r="D4130" s="559"/>
      <c r="E4130" s="559"/>
      <c r="F4130" s="559"/>
      <c r="G4130" s="558"/>
      <c r="H4130" s="559"/>
      <c r="I4130" s="559"/>
      <c r="J4130" s="559"/>
      <c r="K4130" s="560"/>
      <c r="L4130" s="560"/>
      <c r="M4130" s="560"/>
    </row>
    <row r="4131" spans="3:13" s="338" customFormat="1">
      <c r="C4131" s="558"/>
      <c r="D4131" s="559"/>
      <c r="E4131" s="559"/>
      <c r="F4131" s="559"/>
      <c r="G4131" s="558"/>
      <c r="H4131" s="559"/>
      <c r="I4131" s="559"/>
      <c r="J4131" s="559"/>
      <c r="K4131" s="560"/>
      <c r="L4131" s="560"/>
      <c r="M4131" s="560"/>
    </row>
    <row r="4132" spans="3:13" s="338" customFormat="1">
      <c r="C4132" s="558"/>
      <c r="D4132" s="559"/>
      <c r="E4132" s="559"/>
      <c r="F4132" s="559"/>
      <c r="G4132" s="558"/>
      <c r="H4132" s="559"/>
      <c r="I4132" s="559"/>
      <c r="J4132" s="559"/>
      <c r="K4132" s="560"/>
      <c r="L4132" s="560"/>
      <c r="M4132" s="560"/>
    </row>
    <row r="4133" spans="3:13" s="338" customFormat="1">
      <c r="C4133" s="558"/>
      <c r="D4133" s="559"/>
      <c r="E4133" s="559"/>
      <c r="F4133" s="559"/>
      <c r="G4133" s="558"/>
      <c r="H4133" s="559"/>
      <c r="I4133" s="559"/>
      <c r="J4133" s="559"/>
      <c r="K4133" s="560"/>
      <c r="L4133" s="560"/>
      <c r="M4133" s="560"/>
    </row>
    <row r="4134" spans="3:13" s="338" customFormat="1">
      <c r="C4134" s="558"/>
      <c r="D4134" s="559"/>
      <c r="E4134" s="559"/>
      <c r="F4134" s="559"/>
      <c r="G4134" s="558"/>
      <c r="H4134" s="559"/>
      <c r="I4134" s="559"/>
      <c r="J4134" s="559"/>
      <c r="K4134" s="560"/>
      <c r="L4134" s="560"/>
      <c r="M4134" s="560"/>
    </row>
    <row r="4135" spans="3:13" s="338" customFormat="1">
      <c r="C4135" s="558"/>
      <c r="D4135" s="559"/>
      <c r="E4135" s="559"/>
      <c r="F4135" s="559"/>
      <c r="G4135" s="558"/>
      <c r="H4135" s="559"/>
      <c r="I4135" s="559"/>
      <c r="J4135" s="559"/>
      <c r="K4135" s="560"/>
      <c r="L4135" s="560"/>
      <c r="M4135" s="560"/>
    </row>
    <row r="4136" spans="3:13" s="338" customFormat="1">
      <c r="C4136" s="558"/>
      <c r="D4136" s="559"/>
      <c r="E4136" s="559"/>
      <c r="F4136" s="559"/>
      <c r="G4136" s="558"/>
      <c r="H4136" s="559"/>
      <c r="I4136" s="559"/>
      <c r="J4136" s="559"/>
      <c r="K4136" s="560"/>
      <c r="L4136" s="560"/>
      <c r="M4136" s="560"/>
    </row>
    <row r="4137" spans="3:13" s="338" customFormat="1">
      <c r="C4137" s="558"/>
      <c r="D4137" s="559"/>
      <c r="E4137" s="559"/>
      <c r="F4137" s="559"/>
      <c r="G4137" s="558"/>
      <c r="H4137" s="559"/>
      <c r="I4137" s="559"/>
      <c r="J4137" s="559"/>
      <c r="K4137" s="560"/>
      <c r="L4137" s="560"/>
      <c r="M4137" s="560"/>
    </row>
    <row r="4138" spans="3:13" s="338" customFormat="1">
      <c r="C4138" s="558"/>
      <c r="D4138" s="559"/>
      <c r="E4138" s="559"/>
      <c r="F4138" s="559"/>
      <c r="G4138" s="558"/>
      <c r="H4138" s="559"/>
      <c r="I4138" s="559"/>
      <c r="J4138" s="559"/>
      <c r="K4138" s="560"/>
      <c r="L4138" s="560"/>
      <c r="M4138" s="560"/>
    </row>
    <row r="4139" spans="3:13" s="338" customFormat="1">
      <c r="C4139" s="558"/>
      <c r="D4139" s="559"/>
      <c r="E4139" s="559"/>
      <c r="F4139" s="559"/>
      <c r="G4139" s="558"/>
      <c r="H4139" s="559"/>
      <c r="I4139" s="559"/>
      <c r="J4139" s="559"/>
      <c r="K4139" s="560"/>
      <c r="L4139" s="560"/>
      <c r="M4139" s="560"/>
    </row>
    <row r="4140" spans="3:13" s="338" customFormat="1">
      <c r="C4140" s="558"/>
      <c r="D4140" s="559"/>
      <c r="E4140" s="559"/>
      <c r="F4140" s="559"/>
      <c r="G4140" s="558"/>
      <c r="H4140" s="559"/>
      <c r="I4140" s="559"/>
      <c r="J4140" s="559"/>
      <c r="K4140" s="560"/>
      <c r="L4140" s="560"/>
      <c r="M4140" s="560"/>
    </row>
    <row r="4141" spans="3:13" s="338" customFormat="1">
      <c r="C4141" s="558"/>
      <c r="D4141" s="559"/>
      <c r="E4141" s="559"/>
      <c r="F4141" s="559"/>
      <c r="G4141" s="558"/>
      <c r="H4141" s="559"/>
      <c r="I4141" s="559"/>
      <c r="J4141" s="559"/>
      <c r="K4141" s="560"/>
      <c r="L4141" s="560"/>
      <c r="M4141" s="560"/>
    </row>
    <row r="4142" spans="3:13" s="338" customFormat="1">
      <c r="C4142" s="558"/>
      <c r="D4142" s="559"/>
      <c r="E4142" s="559"/>
      <c r="F4142" s="559"/>
      <c r="G4142" s="558"/>
      <c r="H4142" s="559"/>
      <c r="I4142" s="559"/>
      <c r="J4142" s="559"/>
      <c r="K4142" s="560"/>
      <c r="L4142" s="560"/>
      <c r="M4142" s="560"/>
    </row>
    <row r="4143" spans="3:13" s="338" customFormat="1">
      <c r="C4143" s="558"/>
      <c r="D4143" s="559"/>
      <c r="E4143" s="559"/>
      <c r="F4143" s="559"/>
      <c r="G4143" s="558"/>
      <c r="H4143" s="559"/>
      <c r="I4143" s="559"/>
      <c r="J4143" s="559"/>
      <c r="K4143" s="560"/>
      <c r="L4143" s="560"/>
      <c r="M4143" s="560"/>
    </row>
    <row r="4144" spans="3:13" s="338" customFormat="1">
      <c r="C4144" s="558"/>
      <c r="D4144" s="559"/>
      <c r="E4144" s="559"/>
      <c r="F4144" s="559"/>
      <c r="G4144" s="558"/>
      <c r="H4144" s="559"/>
      <c r="I4144" s="559"/>
      <c r="J4144" s="559"/>
      <c r="K4144" s="560"/>
      <c r="L4144" s="560"/>
      <c r="M4144" s="560"/>
    </row>
    <row r="4145" spans="3:13" s="338" customFormat="1">
      <c r="C4145" s="558"/>
      <c r="D4145" s="559"/>
      <c r="E4145" s="559"/>
      <c r="F4145" s="559"/>
      <c r="G4145" s="558"/>
      <c r="H4145" s="559"/>
      <c r="I4145" s="559"/>
      <c r="J4145" s="559"/>
      <c r="K4145" s="560"/>
      <c r="L4145" s="560"/>
      <c r="M4145" s="560"/>
    </row>
    <row r="4146" spans="3:13" s="338" customFormat="1">
      <c r="C4146" s="558"/>
      <c r="D4146" s="559"/>
      <c r="E4146" s="559"/>
      <c r="F4146" s="559"/>
      <c r="G4146" s="558"/>
      <c r="H4146" s="559"/>
      <c r="I4146" s="559"/>
      <c r="J4146" s="559"/>
      <c r="K4146" s="560"/>
      <c r="L4146" s="560"/>
      <c r="M4146" s="560"/>
    </row>
    <row r="4147" spans="3:13" s="338" customFormat="1">
      <c r="C4147" s="558"/>
      <c r="D4147" s="559"/>
      <c r="E4147" s="559"/>
      <c r="F4147" s="559"/>
      <c r="G4147" s="558"/>
      <c r="H4147" s="559"/>
      <c r="I4147" s="559"/>
      <c r="J4147" s="559"/>
      <c r="K4147" s="560"/>
      <c r="L4147" s="560"/>
      <c r="M4147" s="560"/>
    </row>
    <row r="4148" spans="3:13" s="338" customFormat="1">
      <c r="C4148" s="558"/>
      <c r="D4148" s="559"/>
      <c r="E4148" s="559"/>
      <c r="F4148" s="559"/>
      <c r="G4148" s="558"/>
      <c r="H4148" s="559"/>
      <c r="I4148" s="559"/>
      <c r="J4148" s="559"/>
      <c r="K4148" s="560"/>
      <c r="L4148" s="560"/>
      <c r="M4148" s="560"/>
    </row>
    <row r="4149" spans="3:13" s="338" customFormat="1">
      <c r="C4149" s="558"/>
      <c r="D4149" s="559"/>
      <c r="E4149" s="559"/>
      <c r="F4149" s="559"/>
      <c r="G4149" s="558"/>
      <c r="H4149" s="559"/>
      <c r="I4149" s="559"/>
      <c r="J4149" s="559"/>
      <c r="K4149" s="560"/>
      <c r="L4149" s="560"/>
      <c r="M4149" s="560"/>
    </row>
    <row r="4150" spans="3:13" s="338" customFormat="1">
      <c r="C4150" s="558"/>
      <c r="D4150" s="559"/>
      <c r="E4150" s="559"/>
      <c r="F4150" s="559"/>
      <c r="G4150" s="558"/>
      <c r="H4150" s="559"/>
      <c r="I4150" s="559"/>
      <c r="J4150" s="559"/>
      <c r="K4150" s="560"/>
      <c r="L4150" s="560"/>
      <c r="M4150" s="560"/>
    </row>
    <row r="4151" spans="3:13" s="338" customFormat="1">
      <c r="C4151" s="558"/>
      <c r="D4151" s="559"/>
      <c r="E4151" s="559"/>
      <c r="F4151" s="559"/>
      <c r="G4151" s="558"/>
      <c r="H4151" s="559"/>
      <c r="I4151" s="559"/>
      <c r="J4151" s="559"/>
      <c r="K4151" s="560"/>
      <c r="L4151" s="560"/>
      <c r="M4151" s="560"/>
    </row>
    <row r="4152" spans="3:13" s="338" customFormat="1">
      <c r="C4152" s="558"/>
      <c r="D4152" s="559"/>
      <c r="E4152" s="559"/>
      <c r="F4152" s="559"/>
      <c r="G4152" s="558"/>
      <c r="H4152" s="559"/>
      <c r="I4152" s="559"/>
      <c r="J4152" s="559"/>
      <c r="K4152" s="560"/>
      <c r="L4152" s="560"/>
      <c r="M4152" s="560"/>
    </row>
    <row r="4153" spans="3:13" s="338" customFormat="1">
      <c r="C4153" s="558"/>
      <c r="D4153" s="559"/>
      <c r="E4153" s="559"/>
      <c r="F4153" s="559"/>
      <c r="G4153" s="558"/>
      <c r="H4153" s="559"/>
      <c r="I4153" s="559"/>
      <c r="J4153" s="559"/>
      <c r="K4153" s="560"/>
      <c r="L4153" s="560"/>
      <c r="M4153" s="560"/>
    </row>
    <row r="4154" spans="3:13" s="338" customFormat="1">
      <c r="C4154" s="558"/>
      <c r="D4154" s="559"/>
      <c r="E4154" s="559"/>
      <c r="F4154" s="559"/>
      <c r="G4154" s="558"/>
      <c r="H4154" s="559"/>
      <c r="I4154" s="559"/>
      <c r="J4154" s="559"/>
      <c r="K4154" s="560"/>
      <c r="L4154" s="560"/>
      <c r="M4154" s="560"/>
    </row>
    <row r="4155" spans="3:13" s="338" customFormat="1">
      <c r="C4155" s="558"/>
      <c r="D4155" s="559"/>
      <c r="E4155" s="559"/>
      <c r="F4155" s="559"/>
      <c r="G4155" s="558"/>
      <c r="H4155" s="559"/>
      <c r="I4155" s="559"/>
      <c r="J4155" s="559"/>
      <c r="K4155" s="560"/>
      <c r="L4155" s="560"/>
      <c r="M4155" s="560"/>
    </row>
    <row r="4156" spans="3:13" s="338" customFormat="1">
      <c r="C4156" s="558"/>
      <c r="D4156" s="559"/>
      <c r="E4156" s="559"/>
      <c r="F4156" s="559"/>
      <c r="G4156" s="558"/>
      <c r="H4156" s="559"/>
      <c r="I4156" s="559"/>
      <c r="J4156" s="559"/>
      <c r="K4156" s="560"/>
      <c r="L4156" s="560"/>
      <c r="M4156" s="560"/>
    </row>
    <row r="4157" spans="3:13" s="338" customFormat="1">
      <c r="C4157" s="558"/>
      <c r="D4157" s="559"/>
      <c r="E4157" s="559"/>
      <c r="F4157" s="559"/>
      <c r="G4157" s="558"/>
      <c r="H4157" s="559"/>
      <c r="I4157" s="559"/>
      <c r="J4157" s="559"/>
      <c r="K4157" s="560"/>
      <c r="L4157" s="560"/>
      <c r="M4157" s="560"/>
    </row>
    <row r="4158" spans="3:13" s="338" customFormat="1">
      <c r="C4158" s="558"/>
      <c r="D4158" s="559"/>
      <c r="E4158" s="559"/>
      <c r="F4158" s="559"/>
      <c r="G4158" s="558"/>
      <c r="H4158" s="559"/>
      <c r="I4158" s="559"/>
      <c r="J4158" s="559"/>
      <c r="K4158" s="560"/>
      <c r="L4158" s="560"/>
      <c r="M4158" s="560"/>
    </row>
    <row r="4159" spans="3:13" s="338" customFormat="1">
      <c r="C4159" s="558"/>
      <c r="D4159" s="559"/>
      <c r="E4159" s="559"/>
      <c r="F4159" s="559"/>
      <c r="G4159" s="558"/>
      <c r="H4159" s="559"/>
      <c r="I4159" s="559"/>
      <c r="J4159" s="559"/>
      <c r="K4159" s="560"/>
      <c r="L4159" s="560"/>
      <c r="M4159" s="560"/>
    </row>
    <row r="4160" spans="3:13" s="338" customFormat="1">
      <c r="C4160" s="558"/>
      <c r="D4160" s="559"/>
      <c r="E4160" s="559"/>
      <c r="F4160" s="559"/>
      <c r="G4160" s="558"/>
      <c r="H4160" s="559"/>
      <c r="I4160" s="559"/>
      <c r="J4160" s="559"/>
      <c r="K4160" s="560"/>
      <c r="L4160" s="560"/>
      <c r="M4160" s="560"/>
    </row>
    <row r="4161" spans="3:13" s="338" customFormat="1">
      <c r="C4161" s="558"/>
      <c r="D4161" s="559"/>
      <c r="E4161" s="559"/>
      <c r="F4161" s="559"/>
      <c r="G4161" s="558"/>
      <c r="H4161" s="559"/>
      <c r="I4161" s="559"/>
      <c r="J4161" s="559"/>
      <c r="K4161" s="560"/>
      <c r="L4161" s="560"/>
      <c r="M4161" s="560"/>
    </row>
    <row r="4162" spans="3:13" s="338" customFormat="1">
      <c r="C4162" s="558"/>
      <c r="D4162" s="559"/>
      <c r="E4162" s="559"/>
      <c r="F4162" s="559"/>
      <c r="G4162" s="558"/>
      <c r="H4162" s="559"/>
      <c r="I4162" s="559"/>
      <c r="J4162" s="559"/>
      <c r="K4162" s="560"/>
      <c r="L4162" s="560"/>
      <c r="M4162" s="560"/>
    </row>
    <row r="4163" spans="3:13" s="338" customFormat="1">
      <c r="C4163" s="558"/>
      <c r="D4163" s="559"/>
      <c r="E4163" s="559"/>
      <c r="F4163" s="559"/>
      <c r="G4163" s="558"/>
      <c r="H4163" s="559"/>
      <c r="I4163" s="559"/>
      <c r="J4163" s="559"/>
      <c r="K4163" s="560"/>
      <c r="L4163" s="560"/>
      <c r="M4163" s="560"/>
    </row>
    <row r="4164" spans="3:13" s="338" customFormat="1">
      <c r="C4164" s="558"/>
      <c r="D4164" s="559"/>
      <c r="E4164" s="559"/>
      <c r="F4164" s="559"/>
      <c r="G4164" s="558"/>
      <c r="H4164" s="559"/>
      <c r="I4164" s="559"/>
      <c r="J4164" s="559"/>
      <c r="K4164" s="560"/>
      <c r="L4164" s="560"/>
      <c r="M4164" s="560"/>
    </row>
    <row r="4165" spans="3:13" s="338" customFormat="1">
      <c r="C4165" s="558"/>
      <c r="D4165" s="559"/>
      <c r="E4165" s="559"/>
      <c r="F4165" s="559"/>
      <c r="G4165" s="558"/>
      <c r="H4165" s="559"/>
      <c r="I4165" s="559"/>
      <c r="J4165" s="559"/>
      <c r="K4165" s="560"/>
      <c r="L4165" s="560"/>
      <c r="M4165" s="560"/>
    </row>
    <row r="4166" spans="3:13" s="338" customFormat="1">
      <c r="C4166" s="558"/>
      <c r="D4166" s="559"/>
      <c r="E4166" s="559"/>
      <c r="F4166" s="559"/>
      <c r="G4166" s="558"/>
      <c r="H4166" s="559"/>
      <c r="I4166" s="559"/>
      <c r="J4166" s="559"/>
      <c r="K4166" s="560"/>
      <c r="L4166" s="560"/>
      <c r="M4166" s="560"/>
    </row>
    <row r="4167" spans="3:13" s="338" customFormat="1">
      <c r="C4167" s="558"/>
      <c r="D4167" s="559"/>
      <c r="E4167" s="559"/>
      <c r="F4167" s="559"/>
      <c r="G4167" s="558"/>
      <c r="H4167" s="559"/>
      <c r="I4167" s="559"/>
      <c r="J4167" s="559"/>
      <c r="K4167" s="560"/>
      <c r="L4167" s="560"/>
      <c r="M4167" s="560"/>
    </row>
    <row r="4168" spans="3:13" s="338" customFormat="1">
      <c r="C4168" s="558"/>
      <c r="D4168" s="559"/>
      <c r="E4168" s="559"/>
      <c r="F4168" s="559"/>
      <c r="G4168" s="558"/>
      <c r="H4168" s="559"/>
      <c r="I4168" s="559"/>
      <c r="J4168" s="559"/>
      <c r="K4168" s="560"/>
      <c r="L4168" s="560"/>
      <c r="M4168" s="560"/>
    </row>
    <row r="4169" spans="3:13" s="338" customFormat="1">
      <c r="C4169" s="558"/>
      <c r="D4169" s="559"/>
      <c r="E4169" s="559"/>
      <c r="F4169" s="559"/>
      <c r="G4169" s="558"/>
      <c r="H4169" s="559"/>
      <c r="I4169" s="559"/>
      <c r="J4169" s="559"/>
      <c r="K4169" s="560"/>
      <c r="L4169" s="560"/>
      <c r="M4169" s="560"/>
    </row>
    <row r="4170" spans="3:13" s="338" customFormat="1">
      <c r="C4170" s="558"/>
      <c r="D4170" s="559"/>
      <c r="E4170" s="559"/>
      <c r="F4170" s="559"/>
      <c r="G4170" s="558"/>
      <c r="H4170" s="559"/>
      <c r="I4170" s="559"/>
      <c r="J4170" s="559"/>
      <c r="K4170" s="560"/>
      <c r="L4170" s="560"/>
      <c r="M4170" s="560"/>
    </row>
    <row r="4171" spans="3:13" s="338" customFormat="1">
      <c r="C4171" s="558"/>
      <c r="D4171" s="559"/>
      <c r="E4171" s="559"/>
      <c r="F4171" s="559"/>
      <c r="G4171" s="558"/>
      <c r="H4171" s="559"/>
      <c r="I4171" s="559"/>
      <c r="J4171" s="559"/>
      <c r="K4171" s="560"/>
      <c r="L4171" s="560"/>
      <c r="M4171" s="560"/>
    </row>
    <row r="4172" spans="3:13" s="338" customFormat="1">
      <c r="C4172" s="558"/>
      <c r="D4172" s="559"/>
      <c r="E4172" s="559"/>
      <c r="F4172" s="559"/>
      <c r="G4172" s="558"/>
      <c r="H4172" s="559"/>
      <c r="I4172" s="559"/>
      <c r="J4172" s="559"/>
      <c r="K4172" s="560"/>
      <c r="L4172" s="560"/>
      <c r="M4172" s="560"/>
    </row>
    <row r="4173" spans="3:13" s="338" customFormat="1">
      <c r="C4173" s="558"/>
      <c r="D4173" s="559"/>
      <c r="E4173" s="559"/>
      <c r="F4173" s="559"/>
      <c r="G4173" s="558"/>
      <c r="H4173" s="559"/>
      <c r="I4173" s="559"/>
      <c r="J4173" s="559"/>
      <c r="K4173" s="560"/>
      <c r="L4173" s="560"/>
      <c r="M4173" s="560"/>
    </row>
    <row r="4174" spans="3:13" s="338" customFormat="1">
      <c r="C4174" s="558"/>
      <c r="D4174" s="559"/>
      <c r="E4174" s="559"/>
      <c r="F4174" s="559"/>
      <c r="G4174" s="558"/>
      <c r="H4174" s="559"/>
      <c r="I4174" s="559"/>
      <c r="J4174" s="559"/>
      <c r="K4174" s="560"/>
      <c r="L4174" s="560"/>
      <c r="M4174" s="560"/>
    </row>
    <row r="4175" spans="3:13" s="338" customFormat="1">
      <c r="C4175" s="558"/>
      <c r="D4175" s="559"/>
      <c r="E4175" s="559"/>
      <c r="F4175" s="559"/>
      <c r="G4175" s="558"/>
      <c r="H4175" s="559"/>
      <c r="I4175" s="559"/>
      <c r="J4175" s="559"/>
      <c r="K4175" s="560"/>
      <c r="L4175" s="560"/>
      <c r="M4175" s="560"/>
    </row>
    <row r="4176" spans="3:13" s="338" customFormat="1">
      <c r="C4176" s="558"/>
      <c r="D4176" s="559"/>
      <c r="E4176" s="559"/>
      <c r="F4176" s="559"/>
      <c r="G4176" s="558"/>
      <c r="H4176" s="559"/>
      <c r="I4176" s="559"/>
      <c r="J4176" s="559"/>
      <c r="K4176" s="560"/>
      <c r="L4176" s="560"/>
      <c r="M4176" s="560"/>
    </row>
    <row r="4177" spans="3:13" s="338" customFormat="1">
      <c r="C4177" s="558"/>
      <c r="D4177" s="559"/>
      <c r="E4177" s="559"/>
      <c r="F4177" s="559"/>
      <c r="G4177" s="558"/>
      <c r="H4177" s="559"/>
      <c r="I4177" s="559"/>
      <c r="J4177" s="559"/>
      <c r="K4177" s="560"/>
      <c r="L4177" s="560"/>
      <c r="M4177" s="560"/>
    </row>
    <row r="4178" spans="3:13" s="338" customFormat="1">
      <c r="C4178" s="558"/>
      <c r="D4178" s="559"/>
      <c r="E4178" s="559"/>
      <c r="F4178" s="559"/>
      <c r="G4178" s="558"/>
      <c r="H4178" s="559"/>
      <c r="I4178" s="559"/>
      <c r="J4178" s="559"/>
      <c r="K4178" s="560"/>
      <c r="L4178" s="560"/>
      <c r="M4178" s="560"/>
    </row>
    <row r="4179" spans="3:13" s="338" customFormat="1">
      <c r="C4179" s="558"/>
      <c r="D4179" s="559"/>
      <c r="E4179" s="559"/>
      <c r="F4179" s="559"/>
      <c r="G4179" s="558"/>
      <c r="H4179" s="559"/>
      <c r="I4179" s="559"/>
      <c r="J4179" s="559"/>
      <c r="K4179" s="560"/>
      <c r="L4179" s="560"/>
      <c r="M4179" s="560"/>
    </row>
    <row r="4180" spans="3:13" s="338" customFormat="1">
      <c r="C4180" s="558"/>
      <c r="D4180" s="559"/>
      <c r="E4180" s="559"/>
      <c r="F4180" s="559"/>
      <c r="G4180" s="558"/>
      <c r="H4180" s="559"/>
      <c r="I4180" s="559"/>
      <c r="J4180" s="559"/>
      <c r="K4180" s="560"/>
      <c r="L4180" s="560"/>
      <c r="M4180" s="560"/>
    </row>
    <row r="4181" spans="3:13" s="338" customFormat="1">
      <c r="C4181" s="558"/>
      <c r="D4181" s="559"/>
      <c r="E4181" s="559"/>
      <c r="F4181" s="559"/>
      <c r="G4181" s="558"/>
      <c r="H4181" s="559"/>
      <c r="I4181" s="559"/>
      <c r="J4181" s="559"/>
      <c r="K4181" s="560"/>
      <c r="L4181" s="560"/>
      <c r="M4181" s="560"/>
    </row>
    <row r="4182" spans="3:13" s="338" customFormat="1">
      <c r="C4182" s="558"/>
      <c r="D4182" s="559"/>
      <c r="E4182" s="559"/>
      <c r="F4182" s="559"/>
      <c r="G4182" s="558"/>
      <c r="H4182" s="559"/>
      <c r="I4182" s="559"/>
      <c r="J4182" s="559"/>
      <c r="K4182" s="560"/>
      <c r="L4182" s="560"/>
      <c r="M4182" s="560"/>
    </row>
    <row r="4183" spans="3:13" s="338" customFormat="1">
      <c r="C4183" s="558"/>
      <c r="D4183" s="559"/>
      <c r="E4183" s="559"/>
      <c r="F4183" s="559"/>
      <c r="G4183" s="558"/>
      <c r="H4183" s="559"/>
      <c r="I4183" s="559"/>
      <c r="J4183" s="559"/>
      <c r="K4183" s="560"/>
      <c r="L4183" s="560"/>
      <c r="M4183" s="560"/>
    </row>
    <row r="4184" spans="3:13" s="338" customFormat="1">
      <c r="C4184" s="558"/>
      <c r="D4184" s="559"/>
      <c r="E4184" s="559"/>
      <c r="F4184" s="559"/>
      <c r="G4184" s="558"/>
      <c r="H4184" s="559"/>
      <c r="I4184" s="559"/>
      <c r="J4184" s="559"/>
      <c r="K4184" s="560"/>
      <c r="L4184" s="560"/>
      <c r="M4184" s="560"/>
    </row>
    <row r="4185" spans="3:13" s="338" customFormat="1">
      <c r="C4185" s="558"/>
      <c r="D4185" s="559"/>
      <c r="E4185" s="559"/>
      <c r="F4185" s="559"/>
      <c r="G4185" s="558"/>
      <c r="H4185" s="559"/>
      <c r="I4185" s="559"/>
      <c r="J4185" s="559"/>
      <c r="K4185" s="560"/>
      <c r="L4185" s="560"/>
      <c r="M4185" s="560"/>
    </row>
    <row r="4186" spans="3:13" s="338" customFormat="1">
      <c r="C4186" s="558"/>
      <c r="D4186" s="559"/>
      <c r="E4186" s="559"/>
      <c r="F4186" s="559"/>
      <c r="G4186" s="558"/>
      <c r="H4186" s="559"/>
      <c r="I4186" s="559"/>
      <c r="J4186" s="559"/>
      <c r="K4186" s="560"/>
      <c r="L4186" s="560"/>
      <c r="M4186" s="560"/>
    </row>
    <row r="4187" spans="3:13" s="338" customFormat="1">
      <c r="C4187" s="558"/>
      <c r="D4187" s="559"/>
      <c r="E4187" s="559"/>
      <c r="F4187" s="559"/>
      <c r="G4187" s="558"/>
      <c r="H4187" s="559"/>
      <c r="I4187" s="559"/>
      <c r="J4187" s="559"/>
      <c r="K4187" s="560"/>
      <c r="L4187" s="560"/>
      <c r="M4187" s="560"/>
    </row>
    <row r="4188" spans="3:13" s="338" customFormat="1">
      <c r="C4188" s="558"/>
      <c r="D4188" s="559"/>
      <c r="E4188" s="559"/>
      <c r="F4188" s="559"/>
      <c r="G4188" s="558"/>
      <c r="H4188" s="559"/>
      <c r="I4188" s="559"/>
      <c r="J4188" s="559"/>
      <c r="K4188" s="560"/>
      <c r="L4188" s="560"/>
      <c r="M4188" s="560"/>
    </row>
    <row r="4189" spans="3:13" s="338" customFormat="1">
      <c r="C4189" s="558"/>
      <c r="D4189" s="559"/>
      <c r="E4189" s="559"/>
      <c r="F4189" s="559"/>
      <c r="G4189" s="558"/>
      <c r="H4189" s="559"/>
      <c r="I4189" s="559"/>
      <c r="J4189" s="559"/>
      <c r="K4189" s="560"/>
      <c r="L4189" s="560"/>
      <c r="M4189" s="560"/>
    </row>
    <row r="4190" spans="3:13" s="338" customFormat="1">
      <c r="C4190" s="558"/>
      <c r="D4190" s="559"/>
      <c r="E4190" s="559"/>
      <c r="F4190" s="559"/>
      <c r="G4190" s="558"/>
      <c r="H4190" s="559"/>
      <c r="I4190" s="559"/>
      <c r="J4190" s="559"/>
      <c r="K4190" s="560"/>
      <c r="L4190" s="560"/>
      <c r="M4190" s="560"/>
    </row>
    <row r="4191" spans="3:13" s="338" customFormat="1">
      <c r="C4191" s="558"/>
      <c r="D4191" s="559"/>
      <c r="E4191" s="559"/>
      <c r="F4191" s="559"/>
      <c r="G4191" s="558"/>
      <c r="H4191" s="559"/>
      <c r="I4191" s="559"/>
      <c r="J4191" s="559"/>
      <c r="K4191" s="560"/>
      <c r="L4191" s="560"/>
      <c r="M4191" s="560"/>
    </row>
    <row r="4192" spans="3:13" s="338" customFormat="1">
      <c r="C4192" s="558"/>
      <c r="D4192" s="559"/>
      <c r="E4192" s="559"/>
      <c r="F4192" s="559"/>
      <c r="G4192" s="558"/>
      <c r="H4192" s="559"/>
      <c r="I4192" s="559"/>
      <c r="J4192" s="559"/>
      <c r="K4192" s="560"/>
      <c r="L4192" s="560"/>
      <c r="M4192" s="560"/>
    </row>
    <row r="4193" spans="3:13" s="338" customFormat="1">
      <c r="C4193" s="558"/>
      <c r="D4193" s="559"/>
      <c r="E4193" s="559"/>
      <c r="F4193" s="559"/>
      <c r="G4193" s="558"/>
      <c r="H4193" s="559"/>
      <c r="I4193" s="559"/>
      <c r="J4193" s="559"/>
      <c r="K4193" s="560"/>
      <c r="L4193" s="560"/>
      <c r="M4193" s="560"/>
    </row>
    <row r="4194" spans="3:13" s="338" customFormat="1">
      <c r="C4194" s="558"/>
      <c r="D4194" s="559"/>
      <c r="E4194" s="559"/>
      <c r="F4194" s="559"/>
      <c r="G4194" s="558"/>
      <c r="H4194" s="559"/>
      <c r="I4194" s="559"/>
      <c r="J4194" s="559"/>
      <c r="K4194" s="560"/>
      <c r="L4194" s="560"/>
      <c r="M4194" s="560"/>
    </row>
    <row r="4195" spans="3:13" s="338" customFormat="1">
      <c r="C4195" s="558"/>
      <c r="D4195" s="559"/>
      <c r="E4195" s="559"/>
      <c r="F4195" s="559"/>
      <c r="G4195" s="558"/>
      <c r="H4195" s="559"/>
      <c r="I4195" s="559"/>
      <c r="J4195" s="559"/>
      <c r="K4195" s="560"/>
      <c r="L4195" s="560"/>
      <c r="M4195" s="560"/>
    </row>
    <row r="4196" spans="3:13" s="338" customFormat="1">
      <c r="C4196" s="558"/>
      <c r="D4196" s="559"/>
      <c r="E4196" s="559"/>
      <c r="F4196" s="559"/>
      <c r="G4196" s="558"/>
      <c r="H4196" s="559"/>
      <c r="I4196" s="559"/>
      <c r="J4196" s="559"/>
      <c r="K4196" s="560"/>
      <c r="L4196" s="560"/>
      <c r="M4196" s="560"/>
    </row>
    <row r="4197" spans="3:13" s="338" customFormat="1">
      <c r="C4197" s="558"/>
      <c r="D4197" s="559"/>
      <c r="E4197" s="559"/>
      <c r="F4197" s="559"/>
      <c r="G4197" s="558"/>
      <c r="H4197" s="559"/>
      <c r="I4197" s="559"/>
      <c r="J4197" s="559"/>
      <c r="K4197" s="560"/>
      <c r="L4197" s="560"/>
      <c r="M4197" s="560"/>
    </row>
    <row r="4198" spans="3:13" s="338" customFormat="1">
      <c r="C4198" s="558"/>
      <c r="D4198" s="559"/>
      <c r="E4198" s="559"/>
      <c r="F4198" s="559"/>
      <c r="G4198" s="558"/>
      <c r="H4198" s="559"/>
      <c r="I4198" s="559"/>
      <c r="J4198" s="559"/>
      <c r="K4198" s="560"/>
      <c r="L4198" s="560"/>
      <c r="M4198" s="560"/>
    </row>
    <row r="4199" spans="3:13" s="338" customFormat="1">
      <c r="C4199" s="558"/>
      <c r="D4199" s="559"/>
      <c r="E4199" s="559"/>
      <c r="F4199" s="559"/>
      <c r="G4199" s="558"/>
      <c r="H4199" s="559"/>
      <c r="I4199" s="559"/>
      <c r="J4199" s="559"/>
      <c r="K4199" s="560"/>
      <c r="L4199" s="560"/>
      <c r="M4199" s="560"/>
    </row>
    <row r="4200" spans="3:13" s="338" customFormat="1">
      <c r="C4200" s="558"/>
      <c r="D4200" s="559"/>
      <c r="E4200" s="559"/>
      <c r="F4200" s="559"/>
      <c r="G4200" s="558"/>
      <c r="H4200" s="559"/>
      <c r="I4200" s="559"/>
      <c r="J4200" s="559"/>
      <c r="K4200" s="560"/>
      <c r="L4200" s="560"/>
      <c r="M4200" s="560"/>
    </row>
    <row r="4201" spans="3:13" s="338" customFormat="1">
      <c r="C4201" s="558"/>
      <c r="D4201" s="559"/>
      <c r="E4201" s="559"/>
      <c r="F4201" s="559"/>
      <c r="G4201" s="558"/>
      <c r="H4201" s="559"/>
      <c r="I4201" s="559"/>
      <c r="J4201" s="559"/>
      <c r="K4201" s="560"/>
      <c r="L4201" s="560"/>
      <c r="M4201" s="560"/>
    </row>
    <row r="4202" spans="3:13" s="338" customFormat="1">
      <c r="C4202" s="558"/>
      <c r="D4202" s="559"/>
      <c r="E4202" s="559"/>
      <c r="F4202" s="559"/>
      <c r="G4202" s="558"/>
      <c r="H4202" s="559"/>
      <c r="I4202" s="559"/>
      <c r="J4202" s="559"/>
      <c r="K4202" s="560"/>
      <c r="L4202" s="560"/>
      <c r="M4202" s="560"/>
    </row>
    <row r="4203" spans="3:13" s="338" customFormat="1">
      <c r="C4203" s="558"/>
      <c r="D4203" s="559"/>
      <c r="E4203" s="559"/>
      <c r="F4203" s="559"/>
      <c r="G4203" s="558"/>
      <c r="H4203" s="559"/>
      <c r="I4203" s="559"/>
      <c r="J4203" s="559"/>
      <c r="K4203" s="560"/>
      <c r="L4203" s="560"/>
      <c r="M4203" s="560"/>
    </row>
    <row r="4204" spans="3:13" s="338" customFormat="1">
      <c r="C4204" s="558"/>
      <c r="D4204" s="559"/>
      <c r="E4204" s="559"/>
      <c r="F4204" s="559"/>
      <c r="G4204" s="558"/>
      <c r="H4204" s="559"/>
      <c r="I4204" s="559"/>
      <c r="J4204" s="559"/>
      <c r="K4204" s="560"/>
      <c r="L4204" s="560"/>
      <c r="M4204" s="560"/>
    </row>
    <row r="4205" spans="3:13" s="338" customFormat="1">
      <c r="C4205" s="558"/>
      <c r="D4205" s="559"/>
      <c r="E4205" s="559"/>
      <c r="F4205" s="559"/>
      <c r="G4205" s="558"/>
      <c r="H4205" s="559"/>
      <c r="I4205" s="559"/>
      <c r="J4205" s="559"/>
      <c r="K4205" s="560"/>
      <c r="L4205" s="560"/>
      <c r="M4205" s="560"/>
    </row>
    <row r="4206" spans="3:13" s="338" customFormat="1">
      <c r="C4206" s="558"/>
      <c r="D4206" s="559"/>
      <c r="E4206" s="559"/>
      <c r="F4206" s="559"/>
      <c r="G4206" s="558"/>
      <c r="H4206" s="559"/>
      <c r="I4206" s="559"/>
      <c r="J4206" s="559"/>
      <c r="K4206" s="560"/>
      <c r="L4206" s="560"/>
      <c r="M4206" s="560"/>
    </row>
    <row r="4207" spans="3:13" s="338" customFormat="1">
      <c r="C4207" s="558"/>
      <c r="D4207" s="559"/>
      <c r="E4207" s="559"/>
      <c r="F4207" s="559"/>
      <c r="G4207" s="558"/>
      <c r="H4207" s="559"/>
      <c r="I4207" s="559"/>
      <c r="J4207" s="559"/>
      <c r="K4207" s="560"/>
      <c r="L4207" s="560"/>
      <c r="M4207" s="560"/>
    </row>
    <row r="4208" spans="3:13" s="338" customFormat="1">
      <c r="C4208" s="558"/>
      <c r="D4208" s="559"/>
      <c r="E4208" s="559"/>
      <c r="F4208" s="559"/>
      <c r="G4208" s="558"/>
      <c r="H4208" s="559"/>
      <c r="I4208" s="559"/>
      <c r="J4208" s="559"/>
      <c r="K4208" s="560"/>
      <c r="L4208" s="560"/>
      <c r="M4208" s="560"/>
    </row>
    <row r="4209" spans="3:13" s="338" customFormat="1">
      <c r="C4209" s="558"/>
      <c r="D4209" s="559"/>
      <c r="E4209" s="559"/>
      <c r="F4209" s="559"/>
      <c r="G4209" s="558"/>
      <c r="H4209" s="559"/>
      <c r="I4209" s="559"/>
      <c r="J4209" s="559"/>
      <c r="K4209" s="560"/>
      <c r="L4209" s="560"/>
      <c r="M4209" s="560"/>
    </row>
    <row r="4210" spans="3:13" s="338" customFormat="1">
      <c r="C4210" s="558"/>
      <c r="D4210" s="559"/>
      <c r="E4210" s="559"/>
      <c r="F4210" s="559"/>
      <c r="G4210" s="558"/>
      <c r="H4210" s="559"/>
      <c r="I4210" s="559"/>
      <c r="J4210" s="559"/>
      <c r="K4210" s="560"/>
      <c r="L4210" s="560"/>
      <c r="M4210" s="560"/>
    </row>
    <row r="4211" spans="3:13" s="338" customFormat="1">
      <c r="C4211" s="558"/>
      <c r="D4211" s="559"/>
      <c r="E4211" s="559"/>
      <c r="F4211" s="559"/>
      <c r="G4211" s="558"/>
      <c r="H4211" s="559"/>
      <c r="I4211" s="559"/>
      <c r="J4211" s="559"/>
      <c r="K4211" s="560"/>
      <c r="L4211" s="560"/>
      <c r="M4211" s="560"/>
    </row>
    <row r="4212" spans="3:13" s="338" customFormat="1">
      <c r="C4212" s="558"/>
      <c r="D4212" s="559"/>
      <c r="E4212" s="559"/>
      <c r="F4212" s="559"/>
      <c r="G4212" s="558"/>
      <c r="H4212" s="559"/>
      <c r="I4212" s="559"/>
      <c r="J4212" s="559"/>
      <c r="K4212" s="560"/>
      <c r="L4212" s="560"/>
      <c r="M4212" s="560"/>
    </row>
    <row r="4213" spans="3:13" s="338" customFormat="1">
      <c r="C4213" s="558"/>
      <c r="D4213" s="559"/>
      <c r="E4213" s="559"/>
      <c r="F4213" s="559"/>
      <c r="G4213" s="558"/>
      <c r="H4213" s="559"/>
      <c r="I4213" s="559"/>
      <c r="J4213" s="559"/>
      <c r="K4213" s="560"/>
      <c r="L4213" s="560"/>
      <c r="M4213" s="560"/>
    </row>
    <row r="4214" spans="3:13" s="338" customFormat="1">
      <c r="C4214" s="558"/>
      <c r="D4214" s="559"/>
      <c r="E4214" s="559"/>
      <c r="F4214" s="559"/>
      <c r="G4214" s="558"/>
      <c r="H4214" s="559"/>
      <c r="I4214" s="559"/>
      <c r="J4214" s="559"/>
      <c r="K4214" s="560"/>
      <c r="L4214" s="560"/>
      <c r="M4214" s="560"/>
    </row>
    <row r="4215" spans="3:13" s="338" customFormat="1">
      <c r="C4215" s="558"/>
      <c r="D4215" s="559"/>
      <c r="E4215" s="559"/>
      <c r="F4215" s="559"/>
      <c r="G4215" s="558"/>
      <c r="H4215" s="559"/>
      <c r="I4215" s="559"/>
      <c r="J4215" s="559"/>
      <c r="K4215" s="560"/>
      <c r="L4215" s="560"/>
      <c r="M4215" s="560"/>
    </row>
    <row r="4216" spans="3:13" s="338" customFormat="1">
      <c r="C4216" s="558"/>
      <c r="D4216" s="559"/>
      <c r="E4216" s="559"/>
      <c r="F4216" s="559"/>
      <c r="G4216" s="558"/>
      <c r="H4216" s="559"/>
      <c r="I4216" s="559"/>
      <c r="J4216" s="559"/>
      <c r="K4216" s="560"/>
      <c r="L4216" s="560"/>
      <c r="M4216" s="560"/>
    </row>
    <row r="4217" spans="3:13" s="338" customFormat="1">
      <c r="C4217" s="558"/>
      <c r="D4217" s="559"/>
      <c r="E4217" s="559"/>
      <c r="F4217" s="559"/>
      <c r="G4217" s="558"/>
      <c r="H4217" s="559"/>
      <c r="I4217" s="559"/>
      <c r="J4217" s="559"/>
      <c r="K4217" s="560"/>
      <c r="L4217" s="560"/>
      <c r="M4217" s="560"/>
    </row>
    <row r="4218" spans="3:13" s="338" customFormat="1">
      <c r="C4218" s="558"/>
      <c r="D4218" s="559"/>
      <c r="E4218" s="559"/>
      <c r="F4218" s="559"/>
      <c r="G4218" s="558"/>
      <c r="H4218" s="559"/>
      <c r="I4218" s="559"/>
      <c r="J4218" s="559"/>
      <c r="K4218" s="560"/>
      <c r="L4218" s="560"/>
      <c r="M4218" s="560"/>
    </row>
    <row r="4219" spans="3:13" s="338" customFormat="1">
      <c r="C4219" s="558"/>
      <c r="D4219" s="559"/>
      <c r="E4219" s="559"/>
      <c r="F4219" s="559"/>
      <c r="G4219" s="558"/>
      <c r="H4219" s="559"/>
      <c r="I4219" s="559"/>
      <c r="J4219" s="559"/>
      <c r="K4219" s="560"/>
      <c r="L4219" s="560"/>
      <c r="M4219" s="560"/>
    </row>
    <row r="4220" spans="3:13" s="338" customFormat="1">
      <c r="C4220" s="558"/>
      <c r="D4220" s="559"/>
      <c r="E4220" s="559"/>
      <c r="F4220" s="559"/>
      <c r="G4220" s="558"/>
      <c r="H4220" s="559"/>
      <c r="I4220" s="559"/>
      <c r="J4220" s="559"/>
      <c r="K4220" s="560"/>
      <c r="L4220" s="560"/>
      <c r="M4220" s="560"/>
    </row>
    <row r="4221" spans="3:13" s="338" customFormat="1">
      <c r="C4221" s="558"/>
      <c r="D4221" s="559"/>
      <c r="E4221" s="559"/>
      <c r="F4221" s="559"/>
      <c r="G4221" s="558"/>
      <c r="H4221" s="559"/>
      <c r="I4221" s="559"/>
      <c r="J4221" s="559"/>
      <c r="K4221" s="560"/>
      <c r="L4221" s="560"/>
      <c r="M4221" s="560"/>
    </row>
    <row r="4222" spans="3:13" s="338" customFormat="1">
      <c r="C4222" s="558"/>
      <c r="D4222" s="559"/>
      <c r="E4222" s="559"/>
      <c r="F4222" s="559"/>
      <c r="G4222" s="558"/>
      <c r="H4222" s="559"/>
      <c r="I4222" s="559"/>
      <c r="J4222" s="559"/>
      <c r="K4222" s="560"/>
      <c r="L4222" s="560"/>
      <c r="M4222" s="560"/>
    </row>
    <row r="4223" spans="3:13" s="338" customFormat="1">
      <c r="C4223" s="558"/>
      <c r="D4223" s="559"/>
      <c r="E4223" s="559"/>
      <c r="F4223" s="559"/>
      <c r="G4223" s="558"/>
      <c r="H4223" s="559"/>
      <c r="I4223" s="559"/>
      <c r="J4223" s="559"/>
      <c r="K4223" s="560"/>
      <c r="L4223" s="560"/>
      <c r="M4223" s="560"/>
    </row>
    <row r="4224" spans="3:13" s="338" customFormat="1">
      <c r="C4224" s="558"/>
      <c r="D4224" s="559"/>
      <c r="E4224" s="559"/>
      <c r="F4224" s="559"/>
      <c r="G4224" s="558"/>
      <c r="H4224" s="559"/>
      <c r="I4224" s="559"/>
      <c r="J4224" s="559"/>
      <c r="K4224" s="560"/>
      <c r="L4224" s="560"/>
      <c r="M4224" s="560"/>
    </row>
    <row r="4225" spans="3:13" s="338" customFormat="1">
      <c r="C4225" s="558"/>
      <c r="D4225" s="559"/>
      <c r="E4225" s="559"/>
      <c r="F4225" s="559"/>
      <c r="G4225" s="558"/>
      <c r="H4225" s="559"/>
      <c r="I4225" s="559"/>
      <c r="J4225" s="559"/>
      <c r="K4225" s="560"/>
      <c r="L4225" s="560"/>
      <c r="M4225" s="560"/>
    </row>
    <row r="4226" spans="3:13" s="338" customFormat="1">
      <c r="C4226" s="558"/>
      <c r="D4226" s="559"/>
      <c r="E4226" s="559"/>
      <c r="F4226" s="559"/>
      <c r="G4226" s="558"/>
      <c r="H4226" s="559"/>
      <c r="I4226" s="559"/>
      <c r="J4226" s="559"/>
      <c r="K4226" s="560"/>
      <c r="L4226" s="560"/>
      <c r="M4226" s="560"/>
    </row>
    <row r="4227" spans="3:13" s="338" customFormat="1">
      <c r="C4227" s="558"/>
      <c r="D4227" s="559"/>
      <c r="E4227" s="559"/>
      <c r="F4227" s="559"/>
      <c r="G4227" s="558"/>
      <c r="H4227" s="559"/>
      <c r="I4227" s="559"/>
      <c r="J4227" s="559"/>
      <c r="K4227" s="560"/>
      <c r="L4227" s="560"/>
      <c r="M4227" s="560"/>
    </row>
    <row r="4228" spans="3:13" s="338" customFormat="1">
      <c r="C4228" s="558"/>
      <c r="D4228" s="559"/>
      <c r="E4228" s="559"/>
      <c r="F4228" s="559"/>
      <c r="G4228" s="558"/>
      <c r="H4228" s="559"/>
      <c r="I4228" s="559"/>
      <c r="J4228" s="559"/>
      <c r="K4228" s="560"/>
      <c r="L4228" s="560"/>
      <c r="M4228" s="560"/>
    </row>
    <row r="4229" spans="3:13" s="338" customFormat="1">
      <c r="C4229" s="558"/>
      <c r="D4229" s="559"/>
      <c r="E4229" s="559"/>
      <c r="F4229" s="559"/>
      <c r="G4229" s="558"/>
      <c r="H4229" s="559"/>
      <c r="I4229" s="559"/>
      <c r="J4229" s="559"/>
      <c r="K4229" s="560"/>
      <c r="L4229" s="560"/>
      <c r="M4229" s="560"/>
    </row>
    <row r="4230" spans="3:13" s="338" customFormat="1">
      <c r="C4230" s="558"/>
      <c r="D4230" s="559"/>
      <c r="E4230" s="559"/>
      <c r="F4230" s="559"/>
      <c r="G4230" s="558"/>
      <c r="H4230" s="559"/>
      <c r="I4230" s="559"/>
      <c r="J4230" s="559"/>
      <c r="K4230" s="560"/>
      <c r="L4230" s="560"/>
      <c r="M4230" s="560"/>
    </row>
    <row r="4231" spans="3:13" s="338" customFormat="1">
      <c r="C4231" s="558"/>
      <c r="D4231" s="559"/>
      <c r="E4231" s="559"/>
      <c r="F4231" s="559"/>
      <c r="G4231" s="558"/>
      <c r="H4231" s="559"/>
      <c r="I4231" s="559"/>
      <c r="J4231" s="559"/>
      <c r="K4231" s="560"/>
      <c r="L4231" s="560"/>
      <c r="M4231" s="560"/>
    </row>
    <row r="4232" spans="3:13" s="338" customFormat="1">
      <c r="C4232" s="558"/>
      <c r="D4232" s="559"/>
      <c r="E4232" s="559"/>
      <c r="F4232" s="559"/>
      <c r="G4232" s="558"/>
      <c r="H4232" s="559"/>
      <c r="I4232" s="559"/>
      <c r="J4232" s="559"/>
      <c r="K4232" s="560"/>
      <c r="L4232" s="560"/>
      <c r="M4232" s="560"/>
    </row>
    <row r="4233" spans="3:13" s="338" customFormat="1">
      <c r="C4233" s="558"/>
      <c r="D4233" s="559"/>
      <c r="E4233" s="559"/>
      <c r="F4233" s="559"/>
      <c r="G4233" s="558"/>
      <c r="H4233" s="559"/>
      <c r="I4233" s="559"/>
      <c r="J4233" s="559"/>
      <c r="K4233" s="560"/>
      <c r="L4233" s="560"/>
      <c r="M4233" s="560"/>
    </row>
    <row r="4234" spans="3:13" s="338" customFormat="1">
      <c r="C4234" s="558"/>
      <c r="D4234" s="559"/>
      <c r="E4234" s="559"/>
      <c r="F4234" s="559"/>
      <c r="G4234" s="558"/>
      <c r="H4234" s="559"/>
      <c r="I4234" s="559"/>
      <c r="J4234" s="559"/>
      <c r="K4234" s="560"/>
      <c r="L4234" s="560"/>
      <c r="M4234" s="560"/>
    </row>
    <row r="4235" spans="3:13" s="338" customFormat="1">
      <c r="C4235" s="558"/>
      <c r="D4235" s="559"/>
      <c r="E4235" s="559"/>
      <c r="F4235" s="559"/>
      <c r="G4235" s="558"/>
      <c r="H4235" s="559"/>
      <c r="I4235" s="559"/>
      <c r="J4235" s="559"/>
      <c r="K4235" s="560"/>
      <c r="L4235" s="560"/>
      <c r="M4235" s="560"/>
    </row>
    <row r="4236" spans="3:13" s="338" customFormat="1">
      <c r="C4236" s="558"/>
      <c r="D4236" s="559"/>
      <c r="E4236" s="559"/>
      <c r="F4236" s="559"/>
      <c r="G4236" s="558"/>
      <c r="H4236" s="559"/>
      <c r="I4236" s="559"/>
      <c r="J4236" s="559"/>
      <c r="K4236" s="560"/>
      <c r="L4236" s="560"/>
      <c r="M4236" s="560"/>
    </row>
    <row r="4237" spans="3:13" s="338" customFormat="1">
      <c r="C4237" s="558"/>
      <c r="D4237" s="559"/>
      <c r="E4237" s="559"/>
      <c r="F4237" s="559"/>
      <c r="G4237" s="558"/>
      <c r="H4237" s="559"/>
      <c r="I4237" s="559"/>
      <c r="J4237" s="559"/>
      <c r="K4237" s="560"/>
      <c r="L4237" s="560"/>
      <c r="M4237" s="560"/>
    </row>
    <row r="4238" spans="3:13" s="338" customFormat="1">
      <c r="C4238" s="558"/>
      <c r="D4238" s="559"/>
      <c r="E4238" s="559"/>
      <c r="F4238" s="559"/>
      <c r="G4238" s="558"/>
      <c r="H4238" s="559"/>
      <c r="I4238" s="559"/>
      <c r="J4238" s="559"/>
      <c r="K4238" s="560"/>
      <c r="L4238" s="560"/>
      <c r="M4238" s="560"/>
    </row>
    <row r="4239" spans="3:13" s="338" customFormat="1">
      <c r="C4239" s="558"/>
      <c r="D4239" s="559"/>
      <c r="E4239" s="559"/>
      <c r="F4239" s="559"/>
      <c r="G4239" s="558"/>
      <c r="H4239" s="559"/>
      <c r="I4239" s="559"/>
      <c r="J4239" s="559"/>
      <c r="K4239" s="560"/>
      <c r="L4239" s="560"/>
      <c r="M4239" s="560"/>
    </row>
    <row r="4240" spans="3:13" s="338" customFormat="1">
      <c r="C4240" s="558"/>
      <c r="D4240" s="559"/>
      <c r="E4240" s="559"/>
      <c r="F4240" s="559"/>
      <c r="G4240" s="558"/>
      <c r="H4240" s="559"/>
      <c r="I4240" s="559"/>
      <c r="J4240" s="559"/>
      <c r="K4240" s="560"/>
      <c r="L4240" s="560"/>
      <c r="M4240" s="560"/>
    </row>
    <row r="4241" spans="3:13" s="338" customFormat="1">
      <c r="C4241" s="558"/>
      <c r="D4241" s="559"/>
      <c r="E4241" s="559"/>
      <c r="F4241" s="559"/>
      <c r="G4241" s="558"/>
      <c r="H4241" s="559"/>
      <c r="I4241" s="559"/>
      <c r="J4241" s="559"/>
      <c r="K4241" s="560"/>
      <c r="L4241" s="560"/>
      <c r="M4241" s="560"/>
    </row>
    <row r="4242" spans="3:13" s="338" customFormat="1">
      <c r="C4242" s="558"/>
      <c r="D4242" s="559"/>
      <c r="E4242" s="559"/>
      <c r="F4242" s="559"/>
      <c r="G4242" s="558"/>
      <c r="H4242" s="559"/>
      <c r="I4242" s="559"/>
      <c r="J4242" s="559"/>
      <c r="K4242" s="560"/>
      <c r="L4242" s="560"/>
      <c r="M4242" s="560"/>
    </row>
    <row r="4243" spans="3:13" s="338" customFormat="1">
      <c r="C4243" s="558"/>
      <c r="D4243" s="559"/>
      <c r="E4243" s="559"/>
      <c r="F4243" s="559"/>
      <c r="G4243" s="558"/>
      <c r="H4243" s="559"/>
      <c r="I4243" s="559"/>
      <c r="J4243" s="559"/>
      <c r="K4243" s="560"/>
      <c r="L4243" s="560"/>
      <c r="M4243" s="560"/>
    </row>
    <row r="4244" spans="3:13" s="338" customFormat="1">
      <c r="C4244" s="558"/>
      <c r="D4244" s="559"/>
      <c r="E4244" s="559"/>
      <c r="F4244" s="559"/>
      <c r="G4244" s="558"/>
      <c r="H4244" s="559"/>
      <c r="I4244" s="559"/>
      <c r="J4244" s="559"/>
      <c r="K4244" s="560"/>
      <c r="L4244" s="560"/>
      <c r="M4244" s="560"/>
    </row>
    <row r="4245" spans="3:13" s="338" customFormat="1">
      <c r="C4245" s="558"/>
      <c r="D4245" s="559"/>
      <c r="E4245" s="559"/>
      <c r="F4245" s="559"/>
      <c r="G4245" s="558"/>
      <c r="H4245" s="559"/>
      <c r="I4245" s="559"/>
      <c r="J4245" s="559"/>
      <c r="K4245" s="560"/>
      <c r="L4245" s="560"/>
      <c r="M4245" s="560"/>
    </row>
    <row r="4246" spans="3:13" s="338" customFormat="1">
      <c r="C4246" s="558"/>
      <c r="D4246" s="559"/>
      <c r="E4246" s="559"/>
      <c r="F4246" s="559"/>
      <c r="G4246" s="558"/>
      <c r="H4246" s="559"/>
      <c r="I4246" s="559"/>
      <c r="J4246" s="559"/>
      <c r="K4246" s="560"/>
      <c r="L4246" s="560"/>
      <c r="M4246" s="560"/>
    </row>
    <row r="4247" spans="3:13" s="338" customFormat="1">
      <c r="C4247" s="558"/>
      <c r="D4247" s="559"/>
      <c r="E4247" s="559"/>
      <c r="F4247" s="559"/>
      <c r="G4247" s="558"/>
      <c r="H4247" s="559"/>
      <c r="I4247" s="559"/>
      <c r="J4247" s="559"/>
      <c r="K4247" s="560"/>
      <c r="L4247" s="560"/>
      <c r="M4247" s="560"/>
    </row>
    <row r="4248" spans="3:13" s="338" customFormat="1">
      <c r="C4248" s="558"/>
      <c r="D4248" s="559"/>
      <c r="E4248" s="559"/>
      <c r="F4248" s="559"/>
      <c r="G4248" s="558"/>
      <c r="H4248" s="559"/>
      <c r="I4248" s="559"/>
      <c r="J4248" s="559"/>
      <c r="K4248" s="560"/>
      <c r="L4248" s="560"/>
      <c r="M4248" s="560"/>
    </row>
    <row r="4249" spans="3:13" s="338" customFormat="1">
      <c r="C4249" s="558"/>
      <c r="D4249" s="559"/>
      <c r="E4249" s="559"/>
      <c r="F4249" s="559"/>
      <c r="G4249" s="558"/>
      <c r="H4249" s="559"/>
      <c r="I4249" s="559"/>
      <c r="J4249" s="559"/>
      <c r="K4249" s="560"/>
      <c r="L4249" s="560"/>
      <c r="M4249" s="560"/>
    </row>
    <row r="4250" spans="3:13" s="338" customFormat="1">
      <c r="C4250" s="558"/>
      <c r="D4250" s="559"/>
      <c r="E4250" s="559"/>
      <c r="F4250" s="559"/>
      <c r="G4250" s="558"/>
      <c r="H4250" s="559"/>
      <c r="I4250" s="559"/>
      <c r="J4250" s="559"/>
      <c r="K4250" s="560"/>
      <c r="L4250" s="560"/>
      <c r="M4250" s="560"/>
    </row>
    <row r="4251" spans="3:13" s="338" customFormat="1">
      <c r="C4251" s="558"/>
      <c r="D4251" s="559"/>
      <c r="E4251" s="559"/>
      <c r="F4251" s="559"/>
      <c r="G4251" s="558"/>
      <c r="H4251" s="559"/>
      <c r="I4251" s="559"/>
      <c r="J4251" s="559"/>
      <c r="K4251" s="560"/>
      <c r="L4251" s="560"/>
      <c r="M4251" s="560"/>
    </row>
    <row r="4252" spans="3:13" s="338" customFormat="1">
      <c r="C4252" s="558"/>
      <c r="D4252" s="559"/>
      <c r="E4252" s="559"/>
      <c r="F4252" s="559"/>
      <c r="G4252" s="558"/>
      <c r="H4252" s="559"/>
      <c r="I4252" s="559"/>
      <c r="J4252" s="559"/>
      <c r="K4252" s="560"/>
      <c r="L4252" s="560"/>
      <c r="M4252" s="560"/>
    </row>
    <row r="4253" spans="3:13" s="338" customFormat="1">
      <c r="C4253" s="558"/>
      <c r="D4253" s="559"/>
      <c r="E4253" s="559"/>
      <c r="F4253" s="559"/>
      <c r="G4253" s="558"/>
      <c r="H4253" s="559"/>
      <c r="I4253" s="559"/>
      <c r="J4253" s="559"/>
      <c r="K4253" s="560"/>
      <c r="L4253" s="560"/>
      <c r="M4253" s="560"/>
    </row>
    <row r="4254" spans="3:13" s="338" customFormat="1">
      <c r="C4254" s="558"/>
      <c r="D4254" s="559"/>
      <c r="E4254" s="559"/>
      <c r="F4254" s="559"/>
      <c r="G4254" s="558"/>
      <c r="H4254" s="559"/>
      <c r="I4254" s="559"/>
      <c r="J4254" s="559"/>
      <c r="K4254" s="560"/>
      <c r="L4254" s="560"/>
      <c r="M4254" s="560"/>
    </row>
    <row r="4255" spans="3:13" s="338" customFormat="1">
      <c r="C4255" s="558"/>
      <c r="D4255" s="559"/>
      <c r="E4255" s="559"/>
      <c r="F4255" s="559"/>
      <c r="G4255" s="558"/>
      <c r="H4255" s="559"/>
      <c r="I4255" s="559"/>
      <c r="J4255" s="559"/>
      <c r="K4255" s="560"/>
      <c r="L4255" s="560"/>
      <c r="M4255" s="560"/>
    </row>
    <row r="4256" spans="3:13" s="338" customFormat="1">
      <c r="C4256" s="558"/>
      <c r="D4256" s="559"/>
      <c r="E4256" s="559"/>
      <c r="F4256" s="559"/>
      <c r="G4256" s="558"/>
      <c r="H4256" s="559"/>
      <c r="I4256" s="559"/>
      <c r="J4256" s="559"/>
      <c r="K4256" s="560"/>
      <c r="L4256" s="560"/>
      <c r="M4256" s="560"/>
    </row>
    <row r="4257" spans="3:13" s="338" customFormat="1">
      <c r="C4257" s="558"/>
      <c r="D4257" s="559"/>
      <c r="E4257" s="559"/>
      <c r="F4257" s="559"/>
      <c r="G4257" s="558"/>
      <c r="H4257" s="559"/>
      <c r="I4257" s="559"/>
      <c r="J4257" s="559"/>
      <c r="K4257" s="560"/>
      <c r="L4257" s="560"/>
      <c r="M4257" s="560"/>
    </row>
    <row r="4258" spans="3:13" s="338" customFormat="1">
      <c r="C4258" s="558"/>
      <c r="D4258" s="559"/>
      <c r="E4258" s="559"/>
      <c r="F4258" s="559"/>
      <c r="G4258" s="558"/>
      <c r="H4258" s="559"/>
      <c r="I4258" s="559"/>
      <c r="J4258" s="559"/>
      <c r="K4258" s="560"/>
      <c r="L4258" s="560"/>
      <c r="M4258" s="560"/>
    </row>
    <row r="4259" spans="3:13" s="338" customFormat="1">
      <c r="C4259" s="558"/>
      <c r="D4259" s="559"/>
      <c r="E4259" s="559"/>
      <c r="F4259" s="559"/>
      <c r="G4259" s="558"/>
      <c r="H4259" s="559"/>
      <c r="I4259" s="559"/>
      <c r="J4259" s="559"/>
      <c r="K4259" s="560"/>
      <c r="L4259" s="560"/>
      <c r="M4259" s="560"/>
    </row>
    <row r="4260" spans="3:13" s="338" customFormat="1">
      <c r="C4260" s="558"/>
      <c r="D4260" s="559"/>
      <c r="E4260" s="559"/>
      <c r="F4260" s="559"/>
      <c r="G4260" s="558"/>
      <c r="H4260" s="559"/>
      <c r="I4260" s="559"/>
      <c r="J4260" s="559"/>
      <c r="K4260" s="560"/>
      <c r="L4260" s="560"/>
      <c r="M4260" s="560"/>
    </row>
    <row r="4261" spans="3:13" s="338" customFormat="1">
      <c r="C4261" s="558"/>
      <c r="D4261" s="559"/>
      <c r="E4261" s="559"/>
      <c r="F4261" s="559"/>
      <c r="G4261" s="558"/>
      <c r="H4261" s="559"/>
      <c r="I4261" s="559"/>
      <c r="J4261" s="559"/>
      <c r="K4261" s="560"/>
      <c r="L4261" s="560"/>
      <c r="M4261" s="560"/>
    </row>
    <row r="4262" spans="3:13" s="338" customFormat="1">
      <c r="C4262" s="558"/>
      <c r="D4262" s="559"/>
      <c r="E4262" s="559"/>
      <c r="F4262" s="559"/>
      <c r="G4262" s="558"/>
      <c r="H4262" s="559"/>
      <c r="I4262" s="559"/>
      <c r="J4262" s="559"/>
      <c r="K4262" s="560"/>
      <c r="L4262" s="560"/>
      <c r="M4262" s="560"/>
    </row>
    <row r="4263" spans="3:13" s="338" customFormat="1">
      <c r="C4263" s="558"/>
      <c r="D4263" s="559"/>
      <c r="E4263" s="559"/>
      <c r="F4263" s="559"/>
      <c r="G4263" s="558"/>
      <c r="H4263" s="559"/>
      <c r="I4263" s="559"/>
      <c r="J4263" s="559"/>
      <c r="K4263" s="560"/>
      <c r="L4263" s="560"/>
      <c r="M4263" s="560"/>
    </row>
    <row r="4264" spans="3:13" s="338" customFormat="1">
      <c r="C4264" s="558"/>
      <c r="D4264" s="559"/>
      <c r="E4264" s="559"/>
      <c r="F4264" s="559"/>
      <c r="G4264" s="558"/>
      <c r="H4264" s="559"/>
      <c r="I4264" s="559"/>
      <c r="J4264" s="559"/>
      <c r="K4264" s="560"/>
      <c r="L4264" s="560"/>
      <c r="M4264" s="560"/>
    </row>
    <row r="4265" spans="3:13" s="338" customFormat="1">
      <c r="C4265" s="558"/>
      <c r="D4265" s="559"/>
      <c r="E4265" s="559"/>
      <c r="F4265" s="559"/>
      <c r="G4265" s="558"/>
      <c r="H4265" s="559"/>
      <c r="I4265" s="559"/>
      <c r="J4265" s="559"/>
      <c r="K4265" s="560"/>
      <c r="L4265" s="560"/>
      <c r="M4265" s="560"/>
    </row>
    <row r="4266" spans="3:13" s="338" customFormat="1">
      <c r="C4266" s="558"/>
      <c r="D4266" s="559"/>
      <c r="E4266" s="559"/>
      <c r="F4266" s="559"/>
      <c r="G4266" s="558"/>
      <c r="H4266" s="559"/>
      <c r="I4266" s="559"/>
      <c r="J4266" s="559"/>
      <c r="K4266" s="560"/>
      <c r="L4266" s="560"/>
      <c r="M4266" s="560"/>
    </row>
    <row r="4267" spans="3:13" s="338" customFormat="1">
      <c r="C4267" s="558"/>
      <c r="D4267" s="559"/>
      <c r="E4267" s="559"/>
      <c r="F4267" s="559"/>
      <c r="G4267" s="558"/>
      <c r="H4267" s="559"/>
      <c r="I4267" s="559"/>
      <c r="J4267" s="559"/>
      <c r="K4267" s="560"/>
      <c r="L4267" s="560"/>
      <c r="M4267" s="560"/>
    </row>
    <row r="4268" spans="3:13" s="338" customFormat="1">
      <c r="C4268" s="558"/>
      <c r="D4268" s="559"/>
      <c r="E4268" s="559"/>
      <c r="F4268" s="559"/>
      <c r="G4268" s="558"/>
      <c r="H4268" s="559"/>
      <c r="I4268" s="559"/>
      <c r="J4268" s="559"/>
      <c r="K4268" s="560"/>
      <c r="L4268" s="560"/>
      <c r="M4268" s="560"/>
    </row>
    <row r="4269" spans="3:13" s="338" customFormat="1">
      <c r="C4269" s="558"/>
      <c r="D4269" s="559"/>
      <c r="E4269" s="559"/>
      <c r="F4269" s="559"/>
      <c r="G4269" s="558"/>
      <c r="H4269" s="559"/>
      <c r="I4269" s="559"/>
      <c r="J4269" s="559"/>
      <c r="K4269" s="560"/>
      <c r="L4269" s="560"/>
      <c r="M4269" s="560"/>
    </row>
    <row r="4270" spans="3:13" s="338" customFormat="1">
      <c r="C4270" s="558"/>
      <c r="D4270" s="559"/>
      <c r="E4270" s="559"/>
      <c r="F4270" s="559"/>
      <c r="G4270" s="558"/>
      <c r="H4270" s="559"/>
      <c r="I4270" s="559"/>
      <c r="J4270" s="559"/>
      <c r="K4270" s="560"/>
      <c r="L4270" s="560"/>
      <c r="M4270" s="560"/>
    </row>
    <row r="4271" spans="3:13" s="338" customFormat="1">
      <c r="C4271" s="558"/>
      <c r="D4271" s="559"/>
      <c r="E4271" s="559"/>
      <c r="F4271" s="559"/>
      <c r="G4271" s="558"/>
      <c r="H4271" s="559"/>
      <c r="I4271" s="559"/>
      <c r="J4271" s="559"/>
      <c r="K4271" s="560"/>
      <c r="L4271" s="560"/>
      <c r="M4271" s="560"/>
    </row>
    <row r="4272" spans="3:13" s="338" customFormat="1">
      <c r="C4272" s="558"/>
      <c r="D4272" s="559"/>
      <c r="E4272" s="559"/>
      <c r="F4272" s="559"/>
      <c r="G4272" s="558"/>
      <c r="H4272" s="559"/>
      <c r="I4272" s="559"/>
      <c r="J4272" s="559"/>
      <c r="K4272" s="560"/>
      <c r="L4272" s="560"/>
      <c r="M4272" s="560"/>
    </row>
    <row r="4273" spans="3:13" s="338" customFormat="1">
      <c r="C4273" s="558"/>
      <c r="D4273" s="559"/>
      <c r="E4273" s="559"/>
      <c r="F4273" s="559"/>
      <c r="G4273" s="558"/>
      <c r="H4273" s="559"/>
      <c r="I4273" s="559"/>
      <c r="J4273" s="559"/>
      <c r="K4273" s="560"/>
      <c r="L4273" s="560"/>
      <c r="M4273" s="560"/>
    </row>
    <row r="4274" spans="3:13" s="338" customFormat="1">
      <c r="C4274" s="558"/>
      <c r="D4274" s="559"/>
      <c r="E4274" s="559"/>
      <c r="F4274" s="559"/>
      <c r="G4274" s="558"/>
      <c r="H4274" s="559"/>
      <c r="I4274" s="559"/>
      <c r="J4274" s="559"/>
      <c r="K4274" s="560"/>
      <c r="L4274" s="560"/>
      <c r="M4274" s="560"/>
    </row>
    <row r="4275" spans="3:13" s="338" customFormat="1">
      <c r="C4275" s="558"/>
      <c r="D4275" s="559"/>
      <c r="E4275" s="559"/>
      <c r="F4275" s="559"/>
      <c r="G4275" s="558"/>
      <c r="H4275" s="559"/>
      <c r="I4275" s="559"/>
      <c r="J4275" s="559"/>
      <c r="K4275" s="560"/>
      <c r="L4275" s="560"/>
      <c r="M4275" s="560"/>
    </row>
    <row r="4276" spans="3:13" s="338" customFormat="1">
      <c r="C4276" s="558"/>
      <c r="D4276" s="559"/>
      <c r="E4276" s="559"/>
      <c r="F4276" s="559"/>
      <c r="G4276" s="558"/>
      <c r="H4276" s="559"/>
      <c r="I4276" s="559"/>
      <c r="J4276" s="559"/>
      <c r="K4276" s="560"/>
      <c r="L4276" s="560"/>
      <c r="M4276" s="560"/>
    </row>
    <row r="4277" spans="3:13" s="338" customFormat="1">
      <c r="C4277" s="558"/>
      <c r="D4277" s="559"/>
      <c r="E4277" s="559"/>
      <c r="F4277" s="559"/>
      <c r="G4277" s="558"/>
      <c r="H4277" s="559"/>
      <c r="I4277" s="559"/>
      <c r="J4277" s="559"/>
      <c r="K4277" s="560"/>
      <c r="L4277" s="560"/>
      <c r="M4277" s="560"/>
    </row>
    <row r="4278" spans="3:13" s="338" customFormat="1">
      <c r="C4278" s="558"/>
      <c r="D4278" s="559"/>
      <c r="E4278" s="559"/>
      <c r="F4278" s="559"/>
      <c r="G4278" s="558"/>
      <c r="H4278" s="559"/>
      <c r="I4278" s="559"/>
      <c r="J4278" s="559"/>
      <c r="K4278" s="560"/>
      <c r="L4278" s="560"/>
      <c r="M4278" s="560"/>
    </row>
    <row r="4279" spans="3:13" s="338" customFormat="1">
      <c r="C4279" s="558"/>
      <c r="D4279" s="559"/>
      <c r="E4279" s="559"/>
      <c r="F4279" s="559"/>
      <c r="G4279" s="558"/>
      <c r="H4279" s="559"/>
      <c r="I4279" s="559"/>
      <c r="J4279" s="559"/>
      <c r="K4279" s="560"/>
      <c r="L4279" s="560"/>
      <c r="M4279" s="560"/>
    </row>
    <row r="4280" spans="3:13" s="338" customFormat="1">
      <c r="C4280" s="558"/>
      <c r="D4280" s="559"/>
      <c r="E4280" s="559"/>
      <c r="F4280" s="559"/>
      <c r="G4280" s="558"/>
      <c r="H4280" s="559"/>
      <c r="I4280" s="559"/>
      <c r="J4280" s="559"/>
      <c r="K4280" s="560"/>
      <c r="L4280" s="560"/>
      <c r="M4280" s="560"/>
    </row>
    <row r="4281" spans="3:13" s="338" customFormat="1">
      <c r="C4281" s="558"/>
      <c r="D4281" s="559"/>
      <c r="E4281" s="559"/>
      <c r="F4281" s="559"/>
      <c r="G4281" s="558"/>
      <c r="H4281" s="559"/>
      <c r="I4281" s="559"/>
      <c r="J4281" s="559"/>
      <c r="K4281" s="560"/>
      <c r="L4281" s="560"/>
      <c r="M4281" s="560"/>
    </row>
    <row r="4282" spans="3:13" s="338" customFormat="1">
      <c r="C4282" s="558"/>
      <c r="D4282" s="559"/>
      <c r="E4282" s="559"/>
      <c r="F4282" s="559"/>
      <c r="G4282" s="558"/>
      <c r="H4282" s="559"/>
      <c r="I4282" s="559"/>
      <c r="J4282" s="559"/>
      <c r="K4282" s="560"/>
      <c r="L4282" s="560"/>
      <c r="M4282" s="560"/>
    </row>
    <row r="4283" spans="3:13" s="338" customFormat="1">
      <c r="C4283" s="558"/>
      <c r="D4283" s="559"/>
      <c r="E4283" s="559"/>
      <c r="F4283" s="559"/>
      <c r="G4283" s="558"/>
      <c r="H4283" s="559"/>
      <c r="I4283" s="559"/>
      <c r="J4283" s="559"/>
      <c r="K4283" s="560"/>
      <c r="L4283" s="560"/>
      <c r="M4283" s="560"/>
    </row>
    <row r="4284" spans="3:13" s="338" customFormat="1">
      <c r="C4284" s="558"/>
      <c r="D4284" s="559"/>
      <c r="E4284" s="559"/>
      <c r="F4284" s="559"/>
      <c r="G4284" s="558"/>
      <c r="H4284" s="559"/>
      <c r="I4284" s="559"/>
      <c r="J4284" s="559"/>
      <c r="K4284" s="560"/>
      <c r="L4284" s="560"/>
      <c r="M4284" s="560"/>
    </row>
    <row r="4285" spans="3:13" s="338" customFormat="1">
      <c r="C4285" s="558"/>
      <c r="D4285" s="559"/>
      <c r="E4285" s="559"/>
      <c r="F4285" s="559"/>
      <c r="G4285" s="558"/>
      <c r="H4285" s="559"/>
      <c r="I4285" s="559"/>
      <c r="J4285" s="559"/>
      <c r="K4285" s="560"/>
      <c r="L4285" s="560"/>
      <c r="M4285" s="560"/>
    </row>
    <row r="4286" spans="3:13" s="338" customFormat="1">
      <c r="C4286" s="558"/>
      <c r="D4286" s="559"/>
      <c r="E4286" s="559"/>
      <c r="F4286" s="559"/>
      <c r="G4286" s="558"/>
      <c r="H4286" s="559"/>
      <c r="I4286" s="559"/>
      <c r="J4286" s="559"/>
      <c r="K4286" s="560"/>
      <c r="L4286" s="560"/>
      <c r="M4286" s="560"/>
    </row>
    <row r="4287" spans="3:13" s="338" customFormat="1">
      <c r="C4287" s="558"/>
      <c r="D4287" s="559"/>
      <c r="E4287" s="559"/>
      <c r="F4287" s="559"/>
      <c r="G4287" s="558"/>
      <c r="H4287" s="559"/>
      <c r="I4287" s="559"/>
      <c r="J4287" s="559"/>
      <c r="K4287" s="560"/>
      <c r="L4287" s="560"/>
      <c r="M4287" s="560"/>
    </row>
    <row r="4288" spans="3:13" s="338" customFormat="1">
      <c r="C4288" s="558"/>
      <c r="D4288" s="559"/>
      <c r="E4288" s="559"/>
      <c r="F4288" s="559"/>
      <c r="G4288" s="558"/>
      <c r="H4288" s="559"/>
      <c r="I4288" s="559"/>
      <c r="J4288" s="559"/>
      <c r="K4288" s="560"/>
      <c r="L4288" s="560"/>
      <c r="M4288" s="560"/>
    </row>
    <row r="4289" spans="3:13" s="338" customFormat="1">
      <c r="C4289" s="558"/>
      <c r="D4289" s="559"/>
      <c r="E4289" s="559"/>
      <c r="F4289" s="559"/>
      <c r="G4289" s="558"/>
      <c r="H4289" s="559"/>
      <c r="I4289" s="559"/>
      <c r="J4289" s="559"/>
      <c r="K4289" s="560"/>
      <c r="L4289" s="560"/>
      <c r="M4289" s="560"/>
    </row>
    <row r="4290" spans="3:13" s="338" customFormat="1">
      <c r="C4290" s="558"/>
      <c r="D4290" s="559"/>
      <c r="E4290" s="559"/>
      <c r="F4290" s="559"/>
      <c r="G4290" s="558"/>
      <c r="H4290" s="559"/>
      <c r="I4290" s="559"/>
      <c r="J4290" s="559"/>
      <c r="K4290" s="560"/>
      <c r="L4290" s="560"/>
      <c r="M4290" s="560"/>
    </row>
    <row r="4291" spans="3:13" s="338" customFormat="1">
      <c r="C4291" s="558"/>
      <c r="D4291" s="559"/>
      <c r="E4291" s="559"/>
      <c r="F4291" s="559"/>
      <c r="G4291" s="558"/>
      <c r="H4291" s="559"/>
      <c r="I4291" s="559"/>
      <c r="J4291" s="559"/>
      <c r="K4291" s="560"/>
      <c r="L4291" s="560"/>
      <c r="M4291" s="560"/>
    </row>
    <row r="4292" spans="3:13" s="338" customFormat="1">
      <c r="C4292" s="558"/>
      <c r="D4292" s="559"/>
      <c r="E4292" s="559"/>
      <c r="F4292" s="559"/>
      <c r="G4292" s="558"/>
      <c r="H4292" s="559"/>
      <c r="I4292" s="559"/>
      <c r="J4292" s="559"/>
      <c r="K4292" s="560"/>
      <c r="L4292" s="560"/>
      <c r="M4292" s="560"/>
    </row>
    <row r="4293" spans="3:13" s="338" customFormat="1">
      <c r="C4293" s="558"/>
      <c r="D4293" s="559"/>
      <c r="E4293" s="559"/>
      <c r="F4293" s="559"/>
      <c r="G4293" s="558"/>
      <c r="H4293" s="559"/>
      <c r="I4293" s="559"/>
      <c r="J4293" s="559"/>
      <c r="K4293" s="560"/>
      <c r="L4293" s="560"/>
      <c r="M4293" s="560"/>
    </row>
    <row r="4294" spans="3:13" s="338" customFormat="1">
      <c r="C4294" s="558"/>
      <c r="D4294" s="559"/>
      <c r="E4294" s="559"/>
      <c r="F4294" s="559"/>
      <c r="G4294" s="558"/>
      <c r="H4294" s="559"/>
      <c r="I4294" s="559"/>
      <c r="J4294" s="559"/>
      <c r="K4294" s="560"/>
      <c r="L4294" s="560"/>
      <c r="M4294" s="560"/>
    </row>
    <row r="4295" spans="3:13" s="338" customFormat="1">
      <c r="C4295" s="558"/>
      <c r="D4295" s="559"/>
      <c r="E4295" s="559"/>
      <c r="F4295" s="559"/>
      <c r="G4295" s="558"/>
      <c r="H4295" s="559"/>
      <c r="I4295" s="559"/>
      <c r="J4295" s="559"/>
      <c r="K4295" s="560"/>
      <c r="L4295" s="560"/>
      <c r="M4295" s="560"/>
    </row>
    <row r="4296" spans="3:13" s="338" customFormat="1">
      <c r="C4296" s="558"/>
      <c r="D4296" s="559"/>
      <c r="E4296" s="559"/>
      <c r="F4296" s="559"/>
      <c r="G4296" s="558"/>
      <c r="H4296" s="559"/>
      <c r="I4296" s="559"/>
      <c r="J4296" s="559"/>
      <c r="K4296" s="560"/>
      <c r="L4296" s="560"/>
      <c r="M4296" s="560"/>
    </row>
    <row r="4297" spans="3:13" s="338" customFormat="1">
      <c r="C4297" s="558"/>
      <c r="D4297" s="559"/>
      <c r="E4297" s="559"/>
      <c r="F4297" s="559"/>
      <c r="G4297" s="558"/>
      <c r="H4297" s="559"/>
      <c r="I4297" s="559"/>
      <c r="J4297" s="559"/>
      <c r="K4297" s="560"/>
      <c r="L4297" s="560"/>
      <c r="M4297" s="560"/>
    </row>
    <row r="4298" spans="3:13" s="338" customFormat="1">
      <c r="C4298" s="558"/>
      <c r="D4298" s="559"/>
      <c r="E4298" s="559"/>
      <c r="F4298" s="559"/>
      <c r="G4298" s="558"/>
      <c r="H4298" s="559"/>
      <c r="I4298" s="559"/>
      <c r="J4298" s="559"/>
      <c r="K4298" s="560"/>
      <c r="L4298" s="560"/>
      <c r="M4298" s="560"/>
    </row>
    <row r="4299" spans="3:13" s="338" customFormat="1">
      <c r="C4299" s="558"/>
      <c r="D4299" s="559"/>
      <c r="E4299" s="559"/>
      <c r="F4299" s="559"/>
      <c r="G4299" s="558"/>
      <c r="H4299" s="559"/>
      <c r="I4299" s="559"/>
      <c r="J4299" s="559"/>
      <c r="K4299" s="560"/>
      <c r="L4299" s="560"/>
      <c r="M4299" s="560"/>
    </row>
    <row r="4300" spans="3:13" s="338" customFormat="1">
      <c r="C4300" s="558"/>
      <c r="D4300" s="559"/>
      <c r="E4300" s="559"/>
      <c r="F4300" s="559"/>
      <c r="G4300" s="558"/>
      <c r="H4300" s="559"/>
      <c r="I4300" s="559"/>
      <c r="J4300" s="559"/>
      <c r="K4300" s="560"/>
      <c r="L4300" s="560"/>
      <c r="M4300" s="560"/>
    </row>
    <row r="4301" spans="3:13" s="338" customFormat="1">
      <c r="C4301" s="558"/>
      <c r="D4301" s="559"/>
      <c r="E4301" s="559"/>
      <c r="F4301" s="559"/>
      <c r="G4301" s="558"/>
      <c r="H4301" s="559"/>
      <c r="I4301" s="559"/>
      <c r="J4301" s="559"/>
      <c r="K4301" s="560"/>
      <c r="L4301" s="560"/>
      <c r="M4301" s="560"/>
    </row>
    <row r="4302" spans="3:13" s="338" customFormat="1">
      <c r="C4302" s="558"/>
      <c r="D4302" s="559"/>
      <c r="E4302" s="559"/>
      <c r="F4302" s="559"/>
      <c r="G4302" s="558"/>
      <c r="H4302" s="559"/>
      <c r="I4302" s="559"/>
      <c r="J4302" s="559"/>
      <c r="K4302" s="560"/>
      <c r="L4302" s="560"/>
      <c r="M4302" s="560"/>
    </row>
    <row r="4303" spans="3:13" s="338" customFormat="1">
      <c r="C4303" s="558"/>
      <c r="D4303" s="559"/>
      <c r="E4303" s="559"/>
      <c r="F4303" s="559"/>
      <c r="G4303" s="558"/>
      <c r="H4303" s="559"/>
      <c r="I4303" s="559"/>
      <c r="J4303" s="559"/>
      <c r="K4303" s="560"/>
      <c r="L4303" s="560"/>
      <c r="M4303" s="560"/>
    </row>
    <row r="4304" spans="3:13" s="338" customFormat="1">
      <c r="C4304" s="558"/>
      <c r="D4304" s="559"/>
      <c r="E4304" s="559"/>
      <c r="F4304" s="559"/>
      <c r="G4304" s="558"/>
      <c r="H4304" s="559"/>
      <c r="I4304" s="559"/>
      <c r="J4304" s="559"/>
      <c r="K4304" s="560"/>
      <c r="L4304" s="560"/>
      <c r="M4304" s="560"/>
    </row>
    <row r="4305" spans="3:13" s="338" customFormat="1">
      <c r="C4305" s="558"/>
      <c r="D4305" s="559"/>
      <c r="E4305" s="559"/>
      <c r="F4305" s="559"/>
      <c r="G4305" s="558"/>
      <c r="H4305" s="559"/>
      <c r="I4305" s="559"/>
      <c r="J4305" s="559"/>
      <c r="K4305" s="560"/>
      <c r="L4305" s="560"/>
      <c r="M4305" s="560"/>
    </row>
    <row r="4306" spans="3:13" s="338" customFormat="1">
      <c r="C4306" s="558"/>
      <c r="D4306" s="559"/>
      <c r="E4306" s="559"/>
      <c r="F4306" s="559"/>
      <c r="G4306" s="558"/>
      <c r="H4306" s="559"/>
      <c r="I4306" s="559"/>
      <c r="J4306" s="559"/>
      <c r="K4306" s="560"/>
      <c r="L4306" s="560"/>
      <c r="M4306" s="560"/>
    </row>
    <row r="4307" spans="3:13" s="338" customFormat="1">
      <c r="C4307" s="558"/>
      <c r="D4307" s="559"/>
      <c r="E4307" s="559"/>
      <c r="F4307" s="559"/>
      <c r="G4307" s="558"/>
      <c r="H4307" s="559"/>
      <c r="I4307" s="559"/>
      <c r="J4307" s="559"/>
      <c r="K4307" s="560"/>
      <c r="L4307" s="560"/>
      <c r="M4307" s="560"/>
    </row>
    <row r="4308" spans="3:13" s="338" customFormat="1">
      <c r="C4308" s="558"/>
      <c r="D4308" s="559"/>
      <c r="E4308" s="559"/>
      <c r="F4308" s="559"/>
      <c r="G4308" s="558"/>
      <c r="H4308" s="559"/>
      <c r="I4308" s="559"/>
      <c r="J4308" s="559"/>
      <c r="K4308" s="560"/>
      <c r="L4308" s="560"/>
      <c r="M4308" s="560"/>
    </row>
    <row r="4309" spans="3:13" s="338" customFormat="1">
      <c r="C4309" s="558"/>
      <c r="D4309" s="559"/>
      <c r="E4309" s="559"/>
      <c r="F4309" s="559"/>
      <c r="G4309" s="558"/>
      <c r="H4309" s="559"/>
      <c r="I4309" s="559"/>
      <c r="J4309" s="559"/>
      <c r="K4309" s="560"/>
      <c r="L4309" s="560"/>
      <c r="M4309" s="560"/>
    </row>
    <row r="4310" spans="3:13" s="338" customFormat="1">
      <c r="C4310" s="558"/>
      <c r="D4310" s="559"/>
      <c r="E4310" s="559"/>
      <c r="F4310" s="559"/>
      <c r="G4310" s="558"/>
      <c r="H4310" s="559"/>
      <c r="I4310" s="559"/>
      <c r="J4310" s="559"/>
      <c r="K4310" s="560"/>
      <c r="L4310" s="560"/>
      <c r="M4310" s="560"/>
    </row>
    <row r="4311" spans="3:13" s="338" customFormat="1">
      <c r="C4311" s="558"/>
      <c r="D4311" s="559"/>
      <c r="E4311" s="559"/>
      <c r="F4311" s="559"/>
      <c r="G4311" s="558"/>
      <c r="H4311" s="559"/>
      <c r="I4311" s="559"/>
      <c r="J4311" s="559"/>
      <c r="K4311" s="560"/>
      <c r="L4311" s="560"/>
      <c r="M4311" s="560"/>
    </row>
    <row r="4312" spans="3:13" s="338" customFormat="1">
      <c r="C4312" s="558"/>
      <c r="D4312" s="559"/>
      <c r="E4312" s="559"/>
      <c r="F4312" s="559"/>
      <c r="G4312" s="558"/>
      <c r="H4312" s="559"/>
      <c r="I4312" s="559"/>
      <c r="J4312" s="559"/>
      <c r="K4312" s="560"/>
      <c r="L4312" s="560"/>
      <c r="M4312" s="560"/>
    </row>
    <row r="4313" spans="3:13" s="338" customFormat="1">
      <c r="C4313" s="558"/>
      <c r="D4313" s="559"/>
      <c r="E4313" s="559"/>
      <c r="F4313" s="559"/>
      <c r="G4313" s="558"/>
      <c r="H4313" s="559"/>
      <c r="I4313" s="559"/>
      <c r="J4313" s="559"/>
      <c r="K4313" s="560"/>
      <c r="L4313" s="560"/>
      <c r="M4313" s="560"/>
    </row>
    <row r="4314" spans="3:13" s="338" customFormat="1">
      <c r="C4314" s="558"/>
      <c r="D4314" s="559"/>
      <c r="E4314" s="559"/>
      <c r="F4314" s="559"/>
      <c r="G4314" s="558"/>
      <c r="H4314" s="559"/>
      <c r="I4314" s="559"/>
      <c r="J4314" s="559"/>
      <c r="K4314" s="560"/>
      <c r="L4314" s="560"/>
      <c r="M4314" s="560"/>
    </row>
    <row r="4315" spans="3:13" s="338" customFormat="1">
      <c r="C4315" s="558"/>
      <c r="D4315" s="559"/>
      <c r="E4315" s="559"/>
      <c r="F4315" s="559"/>
      <c r="G4315" s="558"/>
      <c r="H4315" s="559"/>
      <c r="I4315" s="559"/>
      <c r="J4315" s="559"/>
      <c r="K4315" s="560"/>
      <c r="L4315" s="560"/>
      <c r="M4315" s="560"/>
    </row>
    <row r="4316" spans="3:13" s="338" customFormat="1">
      <c r="C4316" s="558"/>
      <c r="D4316" s="559"/>
      <c r="E4316" s="559"/>
      <c r="F4316" s="559"/>
      <c r="G4316" s="558"/>
      <c r="H4316" s="559"/>
      <c r="I4316" s="559"/>
      <c r="J4316" s="559"/>
      <c r="K4316" s="560"/>
      <c r="L4316" s="560"/>
      <c r="M4316" s="560"/>
    </row>
    <row r="4317" spans="3:13" s="338" customFormat="1">
      <c r="C4317" s="558"/>
      <c r="D4317" s="559"/>
      <c r="E4317" s="559"/>
      <c r="F4317" s="559"/>
      <c r="G4317" s="558"/>
      <c r="H4317" s="559"/>
      <c r="I4317" s="559"/>
      <c r="J4317" s="559"/>
      <c r="K4317" s="560"/>
      <c r="L4317" s="560"/>
      <c r="M4317" s="560"/>
    </row>
    <row r="4318" spans="3:13" s="338" customFormat="1">
      <c r="C4318" s="558"/>
      <c r="D4318" s="559"/>
      <c r="E4318" s="559"/>
      <c r="F4318" s="559"/>
      <c r="G4318" s="558"/>
      <c r="H4318" s="559"/>
      <c r="I4318" s="559"/>
      <c r="J4318" s="559"/>
      <c r="K4318" s="560"/>
      <c r="L4318" s="560"/>
      <c r="M4318" s="560"/>
    </row>
    <row r="4319" spans="3:13" s="338" customFormat="1">
      <c r="C4319" s="558"/>
      <c r="D4319" s="559"/>
      <c r="E4319" s="559"/>
      <c r="F4319" s="559"/>
      <c r="G4319" s="558"/>
      <c r="H4319" s="559"/>
      <c r="I4319" s="559"/>
      <c r="J4319" s="559"/>
      <c r="K4319" s="560"/>
      <c r="L4319" s="560"/>
      <c r="M4319" s="560"/>
    </row>
    <row r="4320" spans="3:13" s="338" customFormat="1">
      <c r="C4320" s="558"/>
      <c r="D4320" s="559"/>
      <c r="E4320" s="559"/>
      <c r="F4320" s="559"/>
      <c r="G4320" s="558"/>
      <c r="H4320" s="559"/>
      <c r="I4320" s="559"/>
      <c r="J4320" s="559"/>
      <c r="K4320" s="560"/>
      <c r="L4320" s="560"/>
      <c r="M4320" s="560"/>
    </row>
    <row r="4321" spans="3:13" s="338" customFormat="1">
      <c r="C4321" s="558"/>
      <c r="D4321" s="559"/>
      <c r="E4321" s="559"/>
      <c r="F4321" s="559"/>
      <c r="G4321" s="558"/>
      <c r="H4321" s="559"/>
      <c r="I4321" s="559"/>
      <c r="J4321" s="559"/>
      <c r="K4321" s="560"/>
      <c r="L4321" s="560"/>
      <c r="M4321" s="560"/>
    </row>
    <row r="4322" spans="3:13" s="338" customFormat="1">
      <c r="C4322" s="558"/>
      <c r="D4322" s="559"/>
      <c r="E4322" s="559"/>
      <c r="F4322" s="559"/>
      <c r="G4322" s="558"/>
      <c r="H4322" s="559"/>
      <c r="I4322" s="559"/>
      <c r="J4322" s="559"/>
      <c r="K4322" s="560"/>
      <c r="L4322" s="560"/>
      <c r="M4322" s="560"/>
    </row>
    <row r="4323" spans="3:13" s="338" customFormat="1">
      <c r="C4323" s="558"/>
      <c r="D4323" s="559"/>
      <c r="E4323" s="559"/>
      <c r="F4323" s="559"/>
      <c r="G4323" s="558"/>
      <c r="H4323" s="559"/>
      <c r="I4323" s="559"/>
      <c r="J4323" s="559"/>
      <c r="K4323" s="560"/>
      <c r="L4323" s="560"/>
      <c r="M4323" s="560"/>
    </row>
    <row r="4324" spans="3:13" s="338" customFormat="1">
      <c r="C4324" s="558"/>
      <c r="D4324" s="559"/>
      <c r="E4324" s="559"/>
      <c r="F4324" s="559"/>
      <c r="G4324" s="558"/>
      <c r="H4324" s="559"/>
      <c r="I4324" s="559"/>
      <c r="J4324" s="559"/>
      <c r="K4324" s="560"/>
      <c r="L4324" s="560"/>
      <c r="M4324" s="560"/>
    </row>
    <row r="4325" spans="3:13" s="338" customFormat="1">
      <c r="C4325" s="558"/>
      <c r="D4325" s="559"/>
      <c r="E4325" s="559"/>
      <c r="F4325" s="559"/>
      <c r="G4325" s="558"/>
      <c r="H4325" s="559"/>
      <c r="I4325" s="559"/>
      <c r="J4325" s="559"/>
      <c r="K4325" s="560"/>
      <c r="L4325" s="560"/>
      <c r="M4325" s="560"/>
    </row>
    <row r="4326" spans="3:13" s="338" customFormat="1">
      <c r="C4326" s="558"/>
      <c r="D4326" s="559"/>
      <c r="E4326" s="559"/>
      <c r="F4326" s="559"/>
      <c r="G4326" s="558"/>
      <c r="H4326" s="559"/>
      <c r="I4326" s="559"/>
      <c r="J4326" s="559"/>
      <c r="K4326" s="560"/>
      <c r="L4326" s="560"/>
      <c r="M4326" s="560"/>
    </row>
    <row r="4327" spans="3:13" s="338" customFormat="1">
      <c r="C4327" s="558"/>
      <c r="D4327" s="559"/>
      <c r="E4327" s="559"/>
      <c r="F4327" s="559"/>
      <c r="G4327" s="558"/>
      <c r="H4327" s="559"/>
      <c r="I4327" s="559"/>
      <c r="J4327" s="559"/>
      <c r="K4327" s="560"/>
      <c r="L4327" s="560"/>
      <c r="M4327" s="560"/>
    </row>
    <row r="4328" spans="3:13" s="338" customFormat="1">
      <c r="C4328" s="558"/>
      <c r="D4328" s="559"/>
      <c r="E4328" s="559"/>
      <c r="F4328" s="559"/>
      <c r="G4328" s="558"/>
      <c r="H4328" s="559"/>
      <c r="I4328" s="559"/>
      <c r="J4328" s="559"/>
      <c r="K4328" s="560"/>
      <c r="L4328" s="560"/>
      <c r="M4328" s="560"/>
    </row>
    <row r="4329" spans="3:13" s="338" customFormat="1">
      <c r="C4329" s="558"/>
      <c r="D4329" s="559"/>
      <c r="E4329" s="559"/>
      <c r="F4329" s="559"/>
      <c r="G4329" s="558"/>
      <c r="H4329" s="559"/>
      <c r="I4329" s="559"/>
      <c r="J4329" s="559"/>
      <c r="K4329" s="560"/>
      <c r="L4329" s="560"/>
      <c r="M4329" s="560"/>
    </row>
    <row r="4330" spans="3:13" s="338" customFormat="1">
      <c r="C4330" s="558"/>
      <c r="D4330" s="559"/>
      <c r="E4330" s="559"/>
      <c r="F4330" s="559"/>
      <c r="G4330" s="558"/>
      <c r="H4330" s="559"/>
      <c r="I4330" s="559"/>
      <c r="J4330" s="559"/>
      <c r="K4330" s="560"/>
      <c r="L4330" s="560"/>
      <c r="M4330" s="560"/>
    </row>
    <row r="4331" spans="3:13" s="338" customFormat="1">
      <c r="C4331" s="558"/>
      <c r="D4331" s="559"/>
      <c r="E4331" s="559"/>
      <c r="F4331" s="559"/>
      <c r="G4331" s="558"/>
      <c r="H4331" s="559"/>
      <c r="I4331" s="559"/>
      <c r="J4331" s="559"/>
      <c r="K4331" s="560"/>
      <c r="L4331" s="560"/>
      <c r="M4331" s="560"/>
    </row>
    <row r="4332" spans="3:13" s="338" customFormat="1">
      <c r="C4332" s="558"/>
      <c r="D4332" s="559"/>
      <c r="E4332" s="559"/>
      <c r="F4332" s="559"/>
      <c r="G4332" s="558"/>
      <c r="H4332" s="559"/>
      <c r="I4332" s="559"/>
      <c r="J4332" s="559"/>
      <c r="K4332" s="560"/>
      <c r="L4332" s="560"/>
      <c r="M4332" s="560"/>
    </row>
    <row r="4333" spans="3:13" s="338" customFormat="1">
      <c r="C4333" s="558"/>
      <c r="D4333" s="559"/>
      <c r="E4333" s="559"/>
      <c r="F4333" s="559"/>
      <c r="G4333" s="558"/>
      <c r="H4333" s="559"/>
      <c r="I4333" s="559"/>
      <c r="J4333" s="559"/>
      <c r="K4333" s="560"/>
      <c r="L4333" s="560"/>
      <c r="M4333" s="560"/>
    </row>
    <row r="4334" spans="3:13" s="338" customFormat="1">
      <c r="C4334" s="558"/>
      <c r="D4334" s="559"/>
      <c r="E4334" s="559"/>
      <c r="F4334" s="559"/>
      <c r="G4334" s="558"/>
      <c r="H4334" s="559"/>
      <c r="I4334" s="559"/>
      <c r="J4334" s="559"/>
      <c r="K4334" s="560"/>
      <c r="L4334" s="560"/>
      <c r="M4334" s="560"/>
    </row>
    <row r="4335" spans="3:13" s="338" customFormat="1">
      <c r="C4335" s="558"/>
      <c r="D4335" s="559"/>
      <c r="E4335" s="559"/>
      <c r="F4335" s="559"/>
      <c r="G4335" s="558"/>
      <c r="H4335" s="559"/>
      <c r="I4335" s="559"/>
      <c r="J4335" s="559"/>
      <c r="K4335" s="560"/>
      <c r="L4335" s="560"/>
      <c r="M4335" s="560"/>
    </row>
    <row r="4336" spans="3:13" s="338" customFormat="1">
      <c r="C4336" s="558"/>
      <c r="D4336" s="559"/>
      <c r="E4336" s="559"/>
      <c r="F4336" s="559"/>
      <c r="G4336" s="558"/>
      <c r="H4336" s="559"/>
      <c r="I4336" s="559"/>
      <c r="J4336" s="559"/>
      <c r="K4336" s="560"/>
      <c r="L4336" s="560"/>
      <c r="M4336" s="560"/>
    </row>
    <row r="4337" spans="3:13" s="338" customFormat="1">
      <c r="C4337" s="558"/>
      <c r="D4337" s="559"/>
      <c r="E4337" s="559"/>
      <c r="F4337" s="559"/>
      <c r="G4337" s="558"/>
      <c r="H4337" s="559"/>
      <c r="I4337" s="559"/>
      <c r="J4337" s="559"/>
      <c r="K4337" s="560"/>
      <c r="L4337" s="560"/>
      <c r="M4337" s="560"/>
    </row>
    <row r="4338" spans="3:13" s="338" customFormat="1">
      <c r="C4338" s="558"/>
      <c r="D4338" s="559"/>
      <c r="E4338" s="559"/>
      <c r="F4338" s="559"/>
      <c r="G4338" s="558"/>
      <c r="H4338" s="559"/>
      <c r="I4338" s="559"/>
      <c r="J4338" s="559"/>
      <c r="K4338" s="560"/>
      <c r="L4338" s="560"/>
      <c r="M4338" s="560"/>
    </row>
    <row r="4339" spans="3:13" s="338" customFormat="1">
      <c r="C4339" s="558"/>
      <c r="D4339" s="559"/>
      <c r="E4339" s="559"/>
      <c r="F4339" s="559"/>
      <c r="G4339" s="558"/>
      <c r="H4339" s="559"/>
      <c r="I4339" s="559"/>
      <c r="J4339" s="559"/>
      <c r="K4339" s="560"/>
      <c r="L4339" s="560"/>
      <c r="M4339" s="560"/>
    </row>
    <row r="4340" spans="3:13" s="338" customFormat="1">
      <c r="C4340" s="558"/>
      <c r="D4340" s="559"/>
      <c r="E4340" s="559"/>
      <c r="F4340" s="559"/>
      <c r="G4340" s="558"/>
      <c r="H4340" s="559"/>
      <c r="I4340" s="559"/>
      <c r="J4340" s="559"/>
      <c r="K4340" s="560"/>
      <c r="L4340" s="560"/>
      <c r="M4340" s="560"/>
    </row>
    <row r="4341" spans="3:13" s="338" customFormat="1">
      <c r="C4341" s="558"/>
      <c r="D4341" s="559"/>
      <c r="E4341" s="559"/>
      <c r="F4341" s="559"/>
      <c r="G4341" s="558"/>
      <c r="H4341" s="559"/>
      <c r="I4341" s="559"/>
      <c r="J4341" s="559"/>
      <c r="K4341" s="560"/>
      <c r="L4341" s="560"/>
      <c r="M4341" s="560"/>
    </row>
    <row r="4342" spans="3:13" s="338" customFormat="1">
      <c r="C4342" s="558"/>
      <c r="D4342" s="559"/>
      <c r="E4342" s="559"/>
      <c r="F4342" s="559"/>
      <c r="G4342" s="558"/>
      <c r="H4342" s="559"/>
      <c r="I4342" s="559"/>
      <c r="J4342" s="559"/>
      <c r="K4342" s="560"/>
      <c r="L4342" s="560"/>
      <c r="M4342" s="560"/>
    </row>
    <row r="4343" spans="3:13" s="338" customFormat="1">
      <c r="C4343" s="558"/>
      <c r="D4343" s="559"/>
      <c r="E4343" s="559"/>
      <c r="F4343" s="559"/>
      <c r="G4343" s="558"/>
      <c r="H4343" s="559"/>
      <c r="I4343" s="559"/>
      <c r="J4343" s="559"/>
      <c r="K4343" s="560"/>
      <c r="L4343" s="560"/>
      <c r="M4343" s="560"/>
    </row>
    <row r="4344" spans="3:13" s="338" customFormat="1">
      <c r="C4344" s="558"/>
      <c r="D4344" s="559"/>
      <c r="E4344" s="559"/>
      <c r="F4344" s="559"/>
      <c r="G4344" s="558"/>
      <c r="H4344" s="559"/>
      <c r="I4344" s="559"/>
      <c r="J4344" s="559"/>
      <c r="K4344" s="560"/>
      <c r="L4344" s="560"/>
      <c r="M4344" s="560"/>
    </row>
    <row r="4345" spans="3:13" s="338" customFormat="1">
      <c r="C4345" s="558"/>
      <c r="D4345" s="559"/>
      <c r="E4345" s="559"/>
      <c r="F4345" s="559"/>
      <c r="G4345" s="558"/>
      <c r="H4345" s="559"/>
      <c r="I4345" s="559"/>
      <c r="J4345" s="559"/>
      <c r="K4345" s="560"/>
      <c r="L4345" s="560"/>
      <c r="M4345" s="560"/>
    </row>
    <row r="4346" spans="3:13" s="338" customFormat="1">
      <c r="C4346" s="558"/>
      <c r="D4346" s="559"/>
      <c r="E4346" s="559"/>
      <c r="F4346" s="559"/>
      <c r="G4346" s="558"/>
      <c r="H4346" s="559"/>
      <c r="I4346" s="559"/>
      <c r="J4346" s="559"/>
      <c r="K4346" s="560"/>
      <c r="L4346" s="560"/>
      <c r="M4346" s="560"/>
    </row>
    <row r="4347" spans="3:13" s="338" customFormat="1">
      <c r="C4347" s="558"/>
      <c r="D4347" s="559"/>
      <c r="E4347" s="559"/>
      <c r="F4347" s="559"/>
      <c r="G4347" s="558"/>
      <c r="H4347" s="559"/>
      <c r="I4347" s="559"/>
      <c r="J4347" s="559"/>
      <c r="K4347" s="560"/>
      <c r="L4347" s="560"/>
      <c r="M4347" s="560"/>
    </row>
    <row r="4348" spans="3:13" s="338" customFormat="1">
      <c r="C4348" s="558"/>
      <c r="D4348" s="559"/>
      <c r="E4348" s="559"/>
      <c r="F4348" s="559"/>
      <c r="G4348" s="558"/>
      <c r="H4348" s="559"/>
      <c r="I4348" s="559"/>
      <c r="J4348" s="559"/>
      <c r="K4348" s="560"/>
      <c r="L4348" s="560"/>
      <c r="M4348" s="560"/>
    </row>
    <row r="4349" spans="3:13" s="338" customFormat="1">
      <c r="C4349" s="558"/>
      <c r="D4349" s="559"/>
      <c r="E4349" s="559"/>
      <c r="F4349" s="559"/>
      <c r="G4349" s="558"/>
      <c r="H4349" s="559"/>
      <c r="I4349" s="559"/>
      <c r="J4349" s="559"/>
      <c r="K4349" s="560"/>
      <c r="L4349" s="560"/>
      <c r="M4349" s="560"/>
    </row>
    <row r="4350" spans="3:13" s="338" customFormat="1">
      <c r="C4350" s="558"/>
      <c r="D4350" s="559"/>
      <c r="E4350" s="559"/>
      <c r="F4350" s="559"/>
      <c r="G4350" s="558"/>
      <c r="H4350" s="559"/>
      <c r="I4350" s="559"/>
      <c r="J4350" s="559"/>
      <c r="K4350" s="560"/>
      <c r="L4350" s="560"/>
      <c r="M4350" s="560"/>
    </row>
    <row r="4351" spans="3:13" s="338" customFormat="1">
      <c r="C4351" s="558"/>
      <c r="D4351" s="559"/>
      <c r="E4351" s="559"/>
      <c r="F4351" s="559"/>
      <c r="G4351" s="558"/>
      <c r="H4351" s="559"/>
      <c r="I4351" s="559"/>
      <c r="J4351" s="559"/>
      <c r="K4351" s="560"/>
      <c r="L4351" s="560"/>
      <c r="M4351" s="560"/>
    </row>
    <row r="4352" spans="3:13" s="338" customFormat="1">
      <c r="C4352" s="558"/>
      <c r="D4352" s="559"/>
      <c r="E4352" s="559"/>
      <c r="F4352" s="559"/>
      <c r="G4352" s="558"/>
      <c r="H4352" s="559"/>
      <c r="I4352" s="559"/>
      <c r="J4352" s="559"/>
      <c r="K4352" s="560"/>
      <c r="L4352" s="560"/>
      <c r="M4352" s="560"/>
    </row>
    <row r="4353" spans="3:13" s="338" customFormat="1">
      <c r="C4353" s="558"/>
      <c r="D4353" s="559"/>
      <c r="E4353" s="559"/>
      <c r="F4353" s="559"/>
      <c r="G4353" s="558"/>
      <c r="H4353" s="559"/>
      <c r="I4353" s="559"/>
      <c r="J4353" s="559"/>
      <c r="K4353" s="560"/>
      <c r="L4353" s="560"/>
      <c r="M4353" s="560"/>
    </row>
    <row r="4354" spans="3:13" s="338" customFormat="1">
      <c r="C4354" s="558"/>
      <c r="D4354" s="559"/>
      <c r="E4354" s="559"/>
      <c r="F4354" s="559"/>
      <c r="G4354" s="558"/>
      <c r="H4354" s="559"/>
      <c r="I4354" s="559"/>
      <c r="J4354" s="559"/>
      <c r="K4354" s="560"/>
      <c r="L4354" s="560"/>
      <c r="M4354" s="560"/>
    </row>
    <row r="4355" spans="3:13" s="338" customFormat="1">
      <c r="C4355" s="558"/>
      <c r="D4355" s="559"/>
      <c r="E4355" s="559"/>
      <c r="F4355" s="559"/>
      <c r="G4355" s="558"/>
      <c r="H4355" s="559"/>
      <c r="I4355" s="559"/>
      <c r="J4355" s="559"/>
      <c r="K4355" s="560"/>
      <c r="L4355" s="560"/>
      <c r="M4355" s="560"/>
    </row>
    <row r="4356" spans="3:13" s="338" customFormat="1">
      <c r="C4356" s="558"/>
      <c r="D4356" s="559"/>
      <c r="E4356" s="559"/>
      <c r="F4356" s="559"/>
      <c r="G4356" s="558"/>
      <c r="H4356" s="559"/>
      <c r="I4356" s="559"/>
      <c r="J4356" s="559"/>
      <c r="K4356" s="560"/>
      <c r="L4356" s="560"/>
      <c r="M4356" s="560"/>
    </row>
    <row r="4357" spans="3:13" s="338" customFormat="1">
      <c r="C4357" s="558"/>
      <c r="D4357" s="559"/>
      <c r="E4357" s="559"/>
      <c r="F4357" s="559"/>
      <c r="G4357" s="558"/>
      <c r="H4357" s="559"/>
      <c r="I4357" s="559"/>
      <c r="J4357" s="559"/>
      <c r="K4357" s="560"/>
      <c r="L4357" s="560"/>
      <c r="M4357" s="560"/>
    </row>
    <row r="4358" spans="3:13" s="338" customFormat="1">
      <c r="C4358" s="558"/>
      <c r="D4358" s="559"/>
      <c r="E4358" s="559"/>
      <c r="F4358" s="559"/>
      <c r="G4358" s="558"/>
      <c r="H4358" s="559"/>
      <c r="I4358" s="559"/>
      <c r="J4358" s="559"/>
      <c r="K4358" s="560"/>
      <c r="L4358" s="560"/>
      <c r="M4358" s="560"/>
    </row>
    <row r="4359" spans="3:13" s="338" customFormat="1">
      <c r="C4359" s="558"/>
      <c r="D4359" s="559"/>
      <c r="E4359" s="559"/>
      <c r="F4359" s="559"/>
      <c r="G4359" s="558"/>
      <c r="H4359" s="559"/>
      <c r="I4359" s="559"/>
      <c r="J4359" s="559"/>
      <c r="K4359" s="560"/>
      <c r="L4359" s="560"/>
      <c r="M4359" s="560"/>
    </row>
    <row r="4360" spans="3:13" s="338" customFormat="1">
      <c r="C4360" s="558"/>
      <c r="D4360" s="559"/>
      <c r="E4360" s="559"/>
      <c r="F4360" s="559"/>
      <c r="G4360" s="558"/>
      <c r="H4360" s="559"/>
      <c r="I4360" s="559"/>
      <c r="J4360" s="559"/>
      <c r="K4360" s="560"/>
      <c r="L4360" s="560"/>
      <c r="M4360" s="560"/>
    </row>
    <row r="4361" spans="3:13" s="338" customFormat="1">
      <c r="C4361" s="558"/>
      <c r="D4361" s="559"/>
      <c r="E4361" s="559"/>
      <c r="F4361" s="559"/>
      <c r="G4361" s="558"/>
      <c r="H4361" s="559"/>
      <c r="I4361" s="559"/>
      <c r="J4361" s="559"/>
      <c r="K4361" s="560"/>
      <c r="L4361" s="560"/>
      <c r="M4361" s="560"/>
    </row>
    <row r="4362" spans="3:13" s="338" customFormat="1">
      <c r="C4362" s="558"/>
      <c r="D4362" s="559"/>
      <c r="E4362" s="559"/>
      <c r="F4362" s="559"/>
      <c r="G4362" s="558"/>
      <c r="H4362" s="559"/>
      <c r="I4362" s="559"/>
      <c r="J4362" s="559"/>
      <c r="K4362" s="560"/>
      <c r="L4362" s="560"/>
      <c r="M4362" s="560"/>
    </row>
    <row r="4363" spans="3:13" s="338" customFormat="1">
      <c r="C4363" s="558"/>
      <c r="D4363" s="559"/>
      <c r="E4363" s="559"/>
      <c r="F4363" s="559"/>
      <c r="G4363" s="558"/>
      <c r="H4363" s="559"/>
      <c r="I4363" s="559"/>
      <c r="J4363" s="559"/>
      <c r="K4363" s="560"/>
      <c r="L4363" s="560"/>
      <c r="M4363" s="560"/>
    </row>
    <row r="4364" spans="3:13" s="338" customFormat="1">
      <c r="C4364" s="558"/>
      <c r="D4364" s="559"/>
      <c r="E4364" s="559"/>
      <c r="F4364" s="559"/>
      <c r="G4364" s="558"/>
      <c r="H4364" s="559"/>
      <c r="I4364" s="559"/>
      <c r="J4364" s="559"/>
      <c r="K4364" s="560"/>
      <c r="L4364" s="560"/>
      <c r="M4364" s="560"/>
    </row>
    <row r="4365" spans="3:13" s="338" customFormat="1">
      <c r="C4365" s="558"/>
      <c r="D4365" s="559"/>
      <c r="E4365" s="559"/>
      <c r="F4365" s="559"/>
      <c r="G4365" s="558"/>
      <c r="H4365" s="559"/>
      <c r="I4365" s="559"/>
      <c r="J4365" s="559"/>
      <c r="K4365" s="560"/>
      <c r="L4365" s="560"/>
      <c r="M4365" s="560"/>
    </row>
    <row r="4366" spans="3:13" s="338" customFormat="1">
      <c r="C4366" s="558"/>
      <c r="D4366" s="559"/>
      <c r="E4366" s="559"/>
      <c r="F4366" s="559"/>
      <c r="G4366" s="558"/>
      <c r="H4366" s="559"/>
      <c r="I4366" s="559"/>
      <c r="J4366" s="559"/>
      <c r="K4366" s="560"/>
      <c r="L4366" s="560"/>
      <c r="M4366" s="560"/>
    </row>
    <row r="4367" spans="3:13" s="338" customFormat="1">
      <c r="C4367" s="558"/>
      <c r="D4367" s="559"/>
      <c r="E4367" s="559"/>
      <c r="F4367" s="559"/>
      <c r="G4367" s="558"/>
      <c r="H4367" s="559"/>
      <c r="I4367" s="559"/>
      <c r="J4367" s="559"/>
      <c r="K4367" s="560"/>
      <c r="L4367" s="560"/>
      <c r="M4367" s="560"/>
    </row>
    <row r="4368" spans="3:13" s="338" customFormat="1">
      <c r="C4368" s="558"/>
      <c r="D4368" s="559"/>
      <c r="E4368" s="559"/>
      <c r="F4368" s="559"/>
      <c r="G4368" s="558"/>
      <c r="H4368" s="559"/>
      <c r="I4368" s="559"/>
      <c r="J4368" s="559"/>
      <c r="K4368" s="560"/>
      <c r="L4368" s="560"/>
      <c r="M4368" s="560"/>
    </row>
    <row r="4369" spans="3:13" s="338" customFormat="1">
      <c r="C4369" s="558"/>
      <c r="D4369" s="559"/>
      <c r="E4369" s="559"/>
      <c r="F4369" s="559"/>
      <c r="G4369" s="558"/>
      <c r="H4369" s="559"/>
      <c r="I4369" s="559"/>
      <c r="J4369" s="559"/>
      <c r="K4369" s="560"/>
      <c r="L4369" s="560"/>
      <c r="M4369" s="560"/>
    </row>
    <row r="4370" spans="3:13" s="338" customFormat="1">
      <c r="C4370" s="558"/>
      <c r="D4370" s="559"/>
      <c r="E4370" s="559"/>
      <c r="F4370" s="559"/>
      <c r="G4370" s="558"/>
      <c r="H4370" s="559"/>
      <c r="I4370" s="559"/>
      <c r="J4370" s="559"/>
      <c r="K4370" s="560"/>
      <c r="L4370" s="560"/>
      <c r="M4370" s="560"/>
    </row>
    <row r="4371" spans="3:13" s="338" customFormat="1">
      <c r="C4371" s="558"/>
      <c r="D4371" s="559"/>
      <c r="E4371" s="559"/>
      <c r="F4371" s="559"/>
      <c r="G4371" s="558"/>
      <c r="H4371" s="559"/>
      <c r="I4371" s="559"/>
      <c r="J4371" s="559"/>
      <c r="K4371" s="560"/>
      <c r="L4371" s="560"/>
      <c r="M4371" s="560"/>
    </row>
    <row r="4372" spans="3:13" s="338" customFormat="1">
      <c r="C4372" s="558"/>
      <c r="D4372" s="559"/>
      <c r="E4372" s="559"/>
      <c r="F4372" s="559"/>
      <c r="G4372" s="558"/>
      <c r="H4372" s="559"/>
      <c r="I4372" s="559"/>
      <c r="J4372" s="559"/>
      <c r="K4372" s="560"/>
      <c r="L4372" s="560"/>
      <c r="M4372" s="560"/>
    </row>
    <row r="4373" spans="3:13" s="338" customFormat="1">
      <c r="C4373" s="558"/>
      <c r="D4373" s="559"/>
      <c r="E4373" s="559"/>
      <c r="F4373" s="559"/>
      <c r="G4373" s="558"/>
      <c r="H4373" s="559"/>
      <c r="I4373" s="559"/>
      <c r="J4373" s="559"/>
      <c r="K4373" s="560"/>
      <c r="L4373" s="560"/>
      <c r="M4373" s="560"/>
    </row>
    <row r="4374" spans="3:13" s="338" customFormat="1">
      <c r="C4374" s="558"/>
      <c r="D4374" s="559"/>
      <c r="E4374" s="559"/>
      <c r="F4374" s="559"/>
      <c r="G4374" s="558"/>
      <c r="H4374" s="559"/>
      <c r="I4374" s="559"/>
      <c r="J4374" s="559"/>
      <c r="K4374" s="560"/>
      <c r="L4374" s="560"/>
      <c r="M4374" s="560"/>
    </row>
    <row r="4375" spans="3:13" s="338" customFormat="1">
      <c r="C4375" s="558"/>
      <c r="D4375" s="559"/>
      <c r="E4375" s="559"/>
      <c r="F4375" s="559"/>
      <c r="G4375" s="558"/>
      <c r="H4375" s="559"/>
      <c r="I4375" s="559"/>
      <c r="J4375" s="559"/>
      <c r="K4375" s="560"/>
      <c r="L4375" s="560"/>
      <c r="M4375" s="560"/>
    </row>
    <row r="4376" spans="3:13" s="338" customFormat="1">
      <c r="C4376" s="558"/>
      <c r="D4376" s="559"/>
      <c r="E4376" s="559"/>
      <c r="F4376" s="559"/>
      <c r="G4376" s="558"/>
      <c r="H4376" s="559"/>
      <c r="I4376" s="559"/>
      <c r="J4376" s="559"/>
      <c r="K4376" s="560"/>
      <c r="L4376" s="560"/>
      <c r="M4376" s="560"/>
    </row>
    <row r="4377" spans="3:13" s="338" customFormat="1">
      <c r="C4377" s="558"/>
      <c r="D4377" s="559"/>
      <c r="E4377" s="559"/>
      <c r="F4377" s="559"/>
      <c r="G4377" s="558"/>
      <c r="H4377" s="559"/>
      <c r="I4377" s="559"/>
      <c r="J4377" s="559"/>
      <c r="K4377" s="560"/>
      <c r="L4377" s="560"/>
      <c r="M4377" s="560"/>
    </row>
    <row r="4378" spans="3:13" s="338" customFormat="1">
      <c r="C4378" s="558"/>
      <c r="D4378" s="559"/>
      <c r="E4378" s="559"/>
      <c r="F4378" s="559"/>
      <c r="G4378" s="558"/>
      <c r="H4378" s="559"/>
      <c r="I4378" s="559"/>
      <c r="J4378" s="559"/>
      <c r="K4378" s="560"/>
      <c r="L4378" s="560"/>
      <c r="M4378" s="560"/>
    </row>
    <row r="4379" spans="3:13" s="338" customFormat="1">
      <c r="C4379" s="558"/>
      <c r="D4379" s="559"/>
      <c r="E4379" s="559"/>
      <c r="F4379" s="559"/>
      <c r="G4379" s="558"/>
      <c r="H4379" s="559"/>
      <c r="I4379" s="559"/>
      <c r="J4379" s="559"/>
      <c r="K4379" s="560"/>
      <c r="L4379" s="560"/>
      <c r="M4379" s="560"/>
    </row>
    <row r="4380" spans="3:13" s="338" customFormat="1">
      <c r="C4380" s="558"/>
      <c r="D4380" s="559"/>
      <c r="E4380" s="559"/>
      <c r="F4380" s="559"/>
      <c r="G4380" s="558"/>
      <c r="H4380" s="559"/>
      <c r="I4380" s="559"/>
      <c r="J4380" s="559"/>
      <c r="K4380" s="560"/>
      <c r="L4380" s="560"/>
      <c r="M4380" s="560"/>
    </row>
    <row r="4381" spans="3:13" s="338" customFormat="1">
      <c r="C4381" s="558"/>
      <c r="D4381" s="559"/>
      <c r="E4381" s="559"/>
      <c r="F4381" s="559"/>
      <c r="G4381" s="558"/>
      <c r="H4381" s="559"/>
      <c r="I4381" s="559"/>
      <c r="J4381" s="559"/>
      <c r="K4381" s="560"/>
      <c r="L4381" s="560"/>
      <c r="M4381" s="560"/>
    </row>
    <row r="4382" spans="3:13" s="338" customFormat="1">
      <c r="C4382" s="558"/>
      <c r="D4382" s="559"/>
      <c r="E4382" s="559"/>
      <c r="F4382" s="559"/>
      <c r="G4382" s="558"/>
      <c r="H4382" s="559"/>
      <c r="I4382" s="559"/>
      <c r="J4382" s="559"/>
      <c r="K4382" s="560"/>
      <c r="L4382" s="560"/>
      <c r="M4382" s="560"/>
    </row>
    <row r="4383" spans="3:13" s="338" customFormat="1">
      <c r="C4383" s="558"/>
      <c r="D4383" s="559"/>
      <c r="E4383" s="559"/>
      <c r="F4383" s="559"/>
      <c r="G4383" s="558"/>
      <c r="H4383" s="559"/>
      <c r="I4383" s="559"/>
      <c r="J4383" s="559"/>
      <c r="K4383" s="560"/>
      <c r="L4383" s="560"/>
      <c r="M4383" s="560"/>
    </row>
    <row r="4384" spans="3:13" s="338" customFormat="1">
      <c r="C4384" s="558"/>
      <c r="D4384" s="559"/>
      <c r="E4384" s="559"/>
      <c r="F4384" s="559"/>
      <c r="G4384" s="558"/>
      <c r="H4384" s="559"/>
      <c r="I4384" s="559"/>
      <c r="J4384" s="559"/>
      <c r="K4384" s="560"/>
      <c r="L4384" s="560"/>
      <c r="M4384" s="560"/>
    </row>
    <row r="4385" spans="3:13" s="338" customFormat="1">
      <c r="C4385" s="558"/>
      <c r="D4385" s="559"/>
      <c r="E4385" s="559"/>
      <c r="F4385" s="559"/>
      <c r="G4385" s="558"/>
      <c r="H4385" s="559"/>
      <c r="I4385" s="559"/>
      <c r="J4385" s="559"/>
      <c r="K4385" s="560"/>
      <c r="L4385" s="560"/>
      <c r="M4385" s="560"/>
    </row>
    <row r="4386" spans="3:13" s="338" customFormat="1">
      <c r="C4386" s="558"/>
      <c r="D4386" s="559"/>
      <c r="E4386" s="559"/>
      <c r="F4386" s="559"/>
      <c r="G4386" s="558"/>
      <c r="H4386" s="559"/>
      <c r="I4386" s="559"/>
      <c r="J4386" s="559"/>
      <c r="K4386" s="560"/>
      <c r="L4386" s="560"/>
      <c r="M4386" s="560"/>
    </row>
    <row r="4387" spans="3:13" s="338" customFormat="1">
      <c r="C4387" s="558"/>
      <c r="D4387" s="559"/>
      <c r="E4387" s="559"/>
      <c r="F4387" s="559"/>
      <c r="G4387" s="558"/>
      <c r="H4387" s="559"/>
      <c r="I4387" s="559"/>
      <c r="J4387" s="559"/>
      <c r="K4387" s="560"/>
      <c r="L4387" s="560"/>
      <c r="M4387" s="560"/>
    </row>
    <row r="4388" spans="3:13" s="338" customFormat="1">
      <c r="C4388" s="558"/>
      <c r="D4388" s="559"/>
      <c r="E4388" s="559"/>
      <c r="F4388" s="559"/>
      <c r="G4388" s="558"/>
      <c r="H4388" s="559"/>
      <c r="I4388" s="559"/>
      <c r="J4388" s="559"/>
      <c r="K4388" s="560"/>
      <c r="L4388" s="560"/>
      <c r="M4388" s="560"/>
    </row>
    <row r="4389" spans="3:13" s="338" customFormat="1">
      <c r="C4389" s="558"/>
      <c r="D4389" s="559"/>
      <c r="E4389" s="559"/>
      <c r="F4389" s="559"/>
      <c r="G4389" s="558"/>
      <c r="H4389" s="559"/>
      <c r="I4389" s="559"/>
      <c r="J4389" s="559"/>
      <c r="K4389" s="560"/>
      <c r="L4389" s="560"/>
      <c r="M4389" s="560"/>
    </row>
    <row r="4390" spans="3:13" s="338" customFormat="1">
      <c r="C4390" s="558"/>
      <c r="D4390" s="559"/>
      <c r="E4390" s="559"/>
      <c r="F4390" s="559"/>
      <c r="G4390" s="558"/>
      <c r="H4390" s="559"/>
      <c r="I4390" s="559"/>
      <c r="J4390" s="559"/>
      <c r="K4390" s="560"/>
      <c r="L4390" s="560"/>
      <c r="M4390" s="560"/>
    </row>
    <row r="4391" spans="3:13" s="338" customFormat="1">
      <c r="C4391" s="558"/>
      <c r="D4391" s="559"/>
      <c r="E4391" s="559"/>
      <c r="F4391" s="559"/>
      <c r="G4391" s="558"/>
      <c r="H4391" s="559"/>
      <c r="I4391" s="559"/>
      <c r="J4391" s="559"/>
      <c r="K4391" s="560"/>
      <c r="L4391" s="560"/>
      <c r="M4391" s="560"/>
    </row>
    <row r="4392" spans="3:13" s="338" customFormat="1">
      <c r="C4392" s="558"/>
      <c r="D4392" s="559"/>
      <c r="E4392" s="559"/>
      <c r="F4392" s="559"/>
      <c r="G4392" s="558"/>
      <c r="H4392" s="559"/>
      <c r="I4392" s="559"/>
      <c r="J4392" s="559"/>
      <c r="K4392" s="560"/>
      <c r="L4392" s="560"/>
      <c r="M4392" s="560"/>
    </row>
    <row r="4393" spans="3:13" s="338" customFormat="1">
      <c r="C4393" s="558"/>
      <c r="D4393" s="559"/>
      <c r="E4393" s="559"/>
      <c r="F4393" s="559"/>
      <c r="G4393" s="558"/>
      <c r="H4393" s="559"/>
      <c r="I4393" s="559"/>
      <c r="J4393" s="559"/>
      <c r="K4393" s="560"/>
      <c r="L4393" s="560"/>
      <c r="M4393" s="560"/>
    </row>
    <row r="4394" spans="3:13" s="338" customFormat="1">
      <c r="C4394" s="558"/>
      <c r="D4394" s="559"/>
      <c r="E4394" s="559"/>
      <c r="F4394" s="559"/>
      <c r="G4394" s="558"/>
      <c r="H4394" s="559"/>
      <c r="I4394" s="559"/>
      <c r="J4394" s="559"/>
      <c r="K4394" s="560"/>
      <c r="L4394" s="560"/>
      <c r="M4394" s="560"/>
    </row>
    <row r="4395" spans="3:13" s="338" customFormat="1">
      <c r="C4395" s="558"/>
      <c r="D4395" s="559"/>
      <c r="E4395" s="559"/>
      <c r="F4395" s="559"/>
      <c r="G4395" s="558"/>
      <c r="H4395" s="559"/>
      <c r="I4395" s="559"/>
      <c r="J4395" s="559"/>
      <c r="K4395" s="560"/>
      <c r="L4395" s="560"/>
      <c r="M4395" s="560"/>
    </row>
    <row r="4396" spans="3:13" s="338" customFormat="1">
      <c r="C4396" s="558"/>
      <c r="D4396" s="559"/>
      <c r="E4396" s="559"/>
      <c r="F4396" s="559"/>
      <c r="G4396" s="558"/>
      <c r="H4396" s="559"/>
      <c r="I4396" s="559"/>
      <c r="J4396" s="559"/>
      <c r="K4396" s="560"/>
      <c r="L4396" s="560"/>
      <c r="M4396" s="560"/>
    </row>
    <row r="4397" spans="3:13" s="338" customFormat="1">
      <c r="C4397" s="558"/>
      <c r="D4397" s="559"/>
      <c r="E4397" s="559"/>
      <c r="F4397" s="559"/>
      <c r="G4397" s="558"/>
      <c r="H4397" s="559"/>
      <c r="I4397" s="559"/>
      <c r="J4397" s="559"/>
      <c r="K4397" s="560"/>
      <c r="L4397" s="560"/>
      <c r="M4397" s="560"/>
    </row>
    <row r="4398" spans="3:13" s="338" customFormat="1">
      <c r="C4398" s="558"/>
      <c r="D4398" s="559"/>
      <c r="E4398" s="559"/>
      <c r="F4398" s="559"/>
      <c r="G4398" s="558"/>
      <c r="H4398" s="559"/>
      <c r="I4398" s="559"/>
      <c r="J4398" s="559"/>
      <c r="K4398" s="560"/>
      <c r="L4398" s="560"/>
      <c r="M4398" s="560"/>
    </row>
    <row r="4399" spans="3:13" s="338" customFormat="1">
      <c r="C4399" s="558"/>
      <c r="D4399" s="559"/>
      <c r="E4399" s="559"/>
      <c r="F4399" s="559"/>
      <c r="G4399" s="558"/>
      <c r="H4399" s="559"/>
      <c r="I4399" s="559"/>
      <c r="J4399" s="559"/>
      <c r="K4399" s="560"/>
      <c r="L4399" s="560"/>
      <c r="M4399" s="560"/>
    </row>
    <row r="4400" spans="3:13" s="338" customFormat="1">
      <c r="C4400" s="558"/>
      <c r="D4400" s="559"/>
      <c r="E4400" s="559"/>
      <c r="F4400" s="559"/>
      <c r="G4400" s="558"/>
      <c r="H4400" s="559"/>
      <c r="I4400" s="559"/>
      <c r="J4400" s="559"/>
      <c r="K4400" s="560"/>
      <c r="L4400" s="560"/>
      <c r="M4400" s="560"/>
    </row>
    <row r="4401" spans="3:13" s="338" customFormat="1">
      <c r="C4401" s="558"/>
      <c r="D4401" s="559"/>
      <c r="E4401" s="559"/>
      <c r="F4401" s="559"/>
      <c r="G4401" s="558"/>
      <c r="H4401" s="559"/>
      <c r="I4401" s="559"/>
      <c r="J4401" s="559"/>
      <c r="K4401" s="560"/>
      <c r="L4401" s="560"/>
      <c r="M4401" s="560"/>
    </row>
    <row r="4402" spans="3:13" s="338" customFormat="1">
      <c r="C4402" s="558"/>
      <c r="D4402" s="559"/>
      <c r="E4402" s="559"/>
      <c r="F4402" s="559"/>
      <c r="G4402" s="558"/>
      <c r="H4402" s="559"/>
      <c r="I4402" s="559"/>
      <c r="J4402" s="559"/>
      <c r="K4402" s="560"/>
      <c r="L4402" s="560"/>
      <c r="M4402" s="560"/>
    </row>
    <row r="4403" spans="3:13" s="338" customFormat="1">
      <c r="C4403" s="558"/>
      <c r="D4403" s="559"/>
      <c r="E4403" s="559"/>
      <c r="F4403" s="559"/>
      <c r="G4403" s="558"/>
      <c r="H4403" s="559"/>
      <c r="I4403" s="559"/>
      <c r="J4403" s="559"/>
      <c r="K4403" s="560"/>
      <c r="L4403" s="560"/>
      <c r="M4403" s="560"/>
    </row>
    <row r="4404" spans="3:13" s="338" customFormat="1">
      <c r="C4404" s="558"/>
      <c r="D4404" s="559"/>
      <c r="E4404" s="559"/>
      <c r="F4404" s="559"/>
      <c r="G4404" s="558"/>
      <c r="H4404" s="559"/>
      <c r="I4404" s="559"/>
      <c r="J4404" s="559"/>
      <c r="K4404" s="560"/>
      <c r="L4404" s="560"/>
      <c r="M4404" s="560"/>
    </row>
    <row r="4405" spans="3:13" s="338" customFormat="1">
      <c r="C4405" s="558"/>
      <c r="D4405" s="559"/>
      <c r="E4405" s="559"/>
      <c r="F4405" s="559"/>
      <c r="G4405" s="558"/>
      <c r="H4405" s="559"/>
      <c r="I4405" s="559"/>
      <c r="J4405" s="559"/>
      <c r="K4405" s="560"/>
      <c r="L4405" s="560"/>
      <c r="M4405" s="560"/>
    </row>
    <row r="4406" spans="3:13" s="338" customFormat="1">
      <c r="C4406" s="558"/>
      <c r="D4406" s="559"/>
      <c r="E4406" s="559"/>
      <c r="F4406" s="559"/>
      <c r="G4406" s="558"/>
      <c r="H4406" s="559"/>
      <c r="I4406" s="559"/>
      <c r="J4406" s="559"/>
      <c r="K4406" s="560"/>
      <c r="L4406" s="560"/>
      <c r="M4406" s="560"/>
    </row>
    <row r="4407" spans="3:13" s="338" customFormat="1">
      <c r="C4407" s="558"/>
      <c r="D4407" s="559"/>
      <c r="E4407" s="559"/>
      <c r="F4407" s="559"/>
      <c r="G4407" s="558"/>
      <c r="H4407" s="559"/>
      <c r="I4407" s="559"/>
      <c r="J4407" s="559"/>
      <c r="K4407" s="560"/>
      <c r="L4407" s="560"/>
      <c r="M4407" s="560"/>
    </row>
    <row r="4408" spans="3:13" s="338" customFormat="1">
      <c r="C4408" s="558"/>
      <c r="D4408" s="559"/>
      <c r="E4408" s="559"/>
      <c r="F4408" s="559"/>
      <c r="G4408" s="558"/>
      <c r="H4408" s="559"/>
      <c r="I4408" s="559"/>
      <c r="J4408" s="559"/>
      <c r="K4408" s="560"/>
      <c r="L4408" s="560"/>
      <c r="M4408" s="560"/>
    </row>
    <row r="4409" spans="3:13" s="338" customFormat="1">
      <c r="C4409" s="558"/>
      <c r="D4409" s="559"/>
      <c r="E4409" s="559"/>
      <c r="F4409" s="559"/>
      <c r="G4409" s="558"/>
      <c r="H4409" s="559"/>
      <c r="I4409" s="559"/>
      <c r="J4409" s="559"/>
      <c r="K4409" s="560"/>
      <c r="L4409" s="560"/>
      <c r="M4409" s="560"/>
    </row>
    <row r="4410" spans="3:13" s="338" customFormat="1">
      <c r="C4410" s="558"/>
      <c r="D4410" s="559"/>
      <c r="E4410" s="559"/>
      <c r="F4410" s="559"/>
      <c r="G4410" s="558"/>
      <c r="H4410" s="559"/>
      <c r="I4410" s="559"/>
      <c r="J4410" s="559"/>
      <c r="K4410" s="560"/>
      <c r="L4410" s="560"/>
      <c r="M4410" s="560"/>
    </row>
    <row r="4411" spans="3:13" s="338" customFormat="1">
      <c r="C4411" s="558"/>
      <c r="D4411" s="559"/>
      <c r="E4411" s="559"/>
      <c r="F4411" s="559"/>
      <c r="G4411" s="558"/>
      <c r="H4411" s="559"/>
      <c r="I4411" s="559"/>
      <c r="J4411" s="559"/>
      <c r="K4411" s="560"/>
      <c r="L4411" s="560"/>
      <c r="M4411" s="560"/>
    </row>
    <row r="4412" spans="3:13" s="338" customFormat="1">
      <c r="C4412" s="558"/>
      <c r="D4412" s="559"/>
      <c r="E4412" s="559"/>
      <c r="F4412" s="559"/>
      <c r="G4412" s="558"/>
      <c r="H4412" s="559"/>
      <c r="I4412" s="559"/>
      <c r="J4412" s="559"/>
      <c r="K4412" s="560"/>
      <c r="L4412" s="560"/>
      <c r="M4412" s="560"/>
    </row>
    <row r="4413" spans="3:13" s="338" customFormat="1">
      <c r="C4413" s="558"/>
      <c r="D4413" s="559"/>
      <c r="E4413" s="559"/>
      <c r="F4413" s="559"/>
      <c r="G4413" s="558"/>
      <c r="H4413" s="559"/>
      <c r="I4413" s="559"/>
      <c r="J4413" s="559"/>
      <c r="K4413" s="560"/>
      <c r="L4413" s="560"/>
      <c r="M4413" s="560"/>
    </row>
    <row r="4414" spans="3:13" s="338" customFormat="1">
      <c r="C4414" s="558"/>
      <c r="D4414" s="559"/>
      <c r="E4414" s="559"/>
      <c r="F4414" s="559"/>
      <c r="G4414" s="558"/>
      <c r="H4414" s="559"/>
      <c r="I4414" s="559"/>
      <c r="J4414" s="559"/>
      <c r="K4414" s="560"/>
      <c r="L4414" s="560"/>
      <c r="M4414" s="560"/>
    </row>
    <row r="4415" spans="3:13" s="338" customFormat="1">
      <c r="C4415" s="558"/>
      <c r="D4415" s="559"/>
      <c r="E4415" s="559"/>
      <c r="F4415" s="559"/>
      <c r="G4415" s="558"/>
      <c r="H4415" s="559"/>
      <c r="I4415" s="559"/>
      <c r="J4415" s="559"/>
      <c r="K4415" s="560"/>
      <c r="L4415" s="560"/>
      <c r="M4415" s="560"/>
    </row>
    <row r="4416" spans="3:13" s="338" customFormat="1">
      <c r="C4416" s="558"/>
      <c r="D4416" s="559"/>
      <c r="E4416" s="559"/>
      <c r="F4416" s="559"/>
      <c r="G4416" s="558"/>
      <c r="H4416" s="559"/>
      <c r="I4416" s="559"/>
      <c r="J4416" s="559"/>
      <c r="K4416" s="560"/>
      <c r="L4416" s="560"/>
      <c r="M4416" s="560"/>
    </row>
    <row r="4417" spans="3:13" s="338" customFormat="1">
      <c r="C4417" s="558"/>
      <c r="D4417" s="559"/>
      <c r="E4417" s="559"/>
      <c r="F4417" s="559"/>
      <c r="G4417" s="558"/>
      <c r="H4417" s="559"/>
      <c r="I4417" s="559"/>
      <c r="J4417" s="559"/>
      <c r="K4417" s="560"/>
      <c r="L4417" s="560"/>
      <c r="M4417" s="560"/>
    </row>
    <row r="4418" spans="3:13" s="338" customFormat="1">
      <c r="C4418" s="558"/>
      <c r="D4418" s="559"/>
      <c r="E4418" s="559"/>
      <c r="F4418" s="559"/>
      <c r="G4418" s="558"/>
      <c r="H4418" s="559"/>
      <c r="I4418" s="559"/>
      <c r="J4418" s="559"/>
      <c r="K4418" s="560"/>
      <c r="L4418" s="560"/>
      <c r="M4418" s="560"/>
    </row>
    <row r="4419" spans="3:13" s="338" customFormat="1">
      <c r="C4419" s="558"/>
      <c r="D4419" s="559"/>
      <c r="E4419" s="559"/>
      <c r="F4419" s="559"/>
      <c r="G4419" s="558"/>
      <c r="H4419" s="559"/>
      <c r="I4419" s="559"/>
      <c r="J4419" s="559"/>
      <c r="K4419" s="560"/>
      <c r="L4419" s="560"/>
      <c r="M4419" s="560"/>
    </row>
    <row r="4420" spans="3:13" s="338" customFormat="1">
      <c r="C4420" s="558"/>
      <c r="D4420" s="559"/>
      <c r="E4420" s="559"/>
      <c r="F4420" s="559"/>
      <c r="G4420" s="558"/>
      <c r="H4420" s="559"/>
      <c r="I4420" s="559"/>
      <c r="J4420" s="559"/>
      <c r="K4420" s="560"/>
      <c r="L4420" s="560"/>
      <c r="M4420" s="560"/>
    </row>
    <row r="4421" spans="3:13" s="338" customFormat="1">
      <c r="C4421" s="558"/>
      <c r="D4421" s="559"/>
      <c r="E4421" s="559"/>
      <c r="F4421" s="559"/>
      <c r="G4421" s="558"/>
      <c r="H4421" s="559"/>
      <c r="I4421" s="559"/>
      <c r="J4421" s="559"/>
      <c r="K4421" s="560"/>
      <c r="L4421" s="560"/>
      <c r="M4421" s="560"/>
    </row>
    <row r="4422" spans="3:13" s="338" customFormat="1">
      <c r="C4422" s="558"/>
      <c r="D4422" s="559"/>
      <c r="E4422" s="559"/>
      <c r="F4422" s="559"/>
      <c r="G4422" s="558"/>
      <c r="H4422" s="559"/>
      <c r="I4422" s="559"/>
      <c r="J4422" s="559"/>
      <c r="K4422" s="560"/>
      <c r="L4422" s="560"/>
      <c r="M4422" s="560"/>
    </row>
    <row r="4423" spans="3:13" s="338" customFormat="1">
      <c r="C4423" s="558"/>
      <c r="D4423" s="559"/>
      <c r="E4423" s="559"/>
      <c r="F4423" s="559"/>
      <c r="G4423" s="558"/>
      <c r="H4423" s="559"/>
      <c r="I4423" s="559"/>
      <c r="J4423" s="559"/>
      <c r="K4423" s="560"/>
      <c r="L4423" s="560"/>
      <c r="M4423" s="560"/>
    </row>
    <row r="4424" spans="3:13" s="338" customFormat="1">
      <c r="C4424" s="558"/>
      <c r="D4424" s="559"/>
      <c r="E4424" s="559"/>
      <c r="F4424" s="559"/>
      <c r="G4424" s="558"/>
      <c r="H4424" s="559"/>
      <c r="I4424" s="559"/>
      <c r="J4424" s="559"/>
      <c r="K4424" s="560"/>
      <c r="L4424" s="560"/>
      <c r="M4424" s="560"/>
    </row>
    <row r="4425" spans="3:13" s="338" customFormat="1">
      <c r="C4425" s="558"/>
      <c r="D4425" s="559"/>
      <c r="E4425" s="559"/>
      <c r="F4425" s="559"/>
      <c r="G4425" s="558"/>
      <c r="H4425" s="559"/>
      <c r="I4425" s="559"/>
      <c r="J4425" s="559"/>
      <c r="K4425" s="560"/>
      <c r="L4425" s="560"/>
      <c r="M4425" s="560"/>
    </row>
    <row r="4426" spans="3:13" s="338" customFormat="1">
      <c r="C4426" s="558"/>
      <c r="D4426" s="559"/>
      <c r="E4426" s="559"/>
      <c r="F4426" s="559"/>
      <c r="G4426" s="558"/>
      <c r="H4426" s="559"/>
      <c r="I4426" s="559"/>
      <c r="J4426" s="559"/>
      <c r="K4426" s="560"/>
      <c r="L4426" s="560"/>
      <c r="M4426" s="560"/>
    </row>
    <row r="4427" spans="3:13" s="338" customFormat="1">
      <c r="C4427" s="558"/>
      <c r="D4427" s="559"/>
      <c r="E4427" s="559"/>
      <c r="F4427" s="559"/>
      <c r="G4427" s="558"/>
      <c r="H4427" s="559"/>
      <c r="I4427" s="559"/>
      <c r="J4427" s="559"/>
      <c r="K4427" s="560"/>
      <c r="L4427" s="560"/>
      <c r="M4427" s="560"/>
    </row>
    <row r="4428" spans="3:13" s="338" customFormat="1">
      <c r="C4428" s="558"/>
      <c r="D4428" s="559"/>
      <c r="E4428" s="559"/>
      <c r="F4428" s="559"/>
      <c r="G4428" s="558"/>
      <c r="H4428" s="559"/>
      <c r="I4428" s="559"/>
      <c r="J4428" s="559"/>
      <c r="K4428" s="560"/>
      <c r="L4428" s="560"/>
      <c r="M4428" s="560"/>
    </row>
    <row r="4429" spans="3:13" s="338" customFormat="1">
      <c r="C4429" s="558"/>
      <c r="D4429" s="559"/>
      <c r="E4429" s="559"/>
      <c r="F4429" s="559"/>
      <c r="G4429" s="558"/>
      <c r="H4429" s="559"/>
      <c r="I4429" s="559"/>
      <c r="J4429" s="559"/>
      <c r="K4429" s="560"/>
      <c r="L4429" s="560"/>
      <c r="M4429" s="560"/>
    </row>
    <row r="4430" spans="3:13" s="338" customFormat="1">
      <c r="C4430" s="558"/>
      <c r="D4430" s="559"/>
      <c r="E4430" s="559"/>
      <c r="F4430" s="559"/>
      <c r="G4430" s="558"/>
      <c r="H4430" s="559"/>
      <c r="I4430" s="559"/>
      <c r="J4430" s="559"/>
      <c r="K4430" s="560"/>
      <c r="L4430" s="560"/>
      <c r="M4430" s="560"/>
    </row>
    <row r="4431" spans="3:13" s="338" customFormat="1">
      <c r="C4431" s="558"/>
      <c r="D4431" s="559"/>
      <c r="E4431" s="559"/>
      <c r="F4431" s="559"/>
      <c r="G4431" s="558"/>
      <c r="H4431" s="559"/>
      <c r="I4431" s="559"/>
      <c r="J4431" s="559"/>
      <c r="K4431" s="560"/>
      <c r="L4431" s="560"/>
      <c r="M4431" s="560"/>
    </row>
    <row r="4432" spans="3:13" s="338" customFormat="1">
      <c r="C4432" s="558"/>
      <c r="D4432" s="559"/>
      <c r="E4432" s="559"/>
      <c r="F4432" s="559"/>
      <c r="G4432" s="558"/>
      <c r="H4432" s="559"/>
      <c r="I4432" s="559"/>
      <c r="J4432" s="559"/>
      <c r="K4432" s="560"/>
      <c r="L4432" s="560"/>
      <c r="M4432" s="560"/>
    </row>
    <row r="4433" spans="3:13" s="338" customFormat="1">
      <c r="C4433" s="558"/>
      <c r="D4433" s="559"/>
      <c r="E4433" s="559"/>
      <c r="F4433" s="559"/>
      <c r="G4433" s="558"/>
      <c r="H4433" s="559"/>
      <c r="I4433" s="559"/>
      <c r="J4433" s="559"/>
      <c r="K4433" s="560"/>
      <c r="L4433" s="560"/>
      <c r="M4433" s="560"/>
    </row>
    <row r="4434" spans="3:13" s="338" customFormat="1">
      <c r="C4434" s="558"/>
      <c r="D4434" s="559"/>
      <c r="E4434" s="559"/>
      <c r="F4434" s="559"/>
      <c r="G4434" s="558"/>
      <c r="H4434" s="559"/>
      <c r="I4434" s="559"/>
      <c r="J4434" s="559"/>
      <c r="K4434" s="560"/>
      <c r="L4434" s="560"/>
      <c r="M4434" s="560"/>
    </row>
    <row r="4435" spans="3:13" s="338" customFormat="1">
      <c r="C4435" s="558"/>
      <c r="D4435" s="559"/>
      <c r="E4435" s="559"/>
      <c r="F4435" s="559"/>
      <c r="G4435" s="558"/>
      <c r="H4435" s="559"/>
      <c r="I4435" s="559"/>
      <c r="J4435" s="559"/>
      <c r="K4435" s="560"/>
      <c r="L4435" s="560"/>
      <c r="M4435" s="560"/>
    </row>
    <row r="4436" spans="3:13" s="338" customFormat="1">
      <c r="C4436" s="558"/>
      <c r="D4436" s="559"/>
      <c r="E4436" s="559"/>
      <c r="F4436" s="559"/>
      <c r="G4436" s="558"/>
      <c r="H4436" s="559"/>
      <c r="I4436" s="559"/>
      <c r="J4436" s="559"/>
      <c r="K4436" s="560"/>
      <c r="L4436" s="560"/>
      <c r="M4436" s="560"/>
    </row>
    <row r="4437" spans="3:13" s="338" customFormat="1">
      <c r="C4437" s="558"/>
      <c r="D4437" s="559"/>
      <c r="E4437" s="559"/>
      <c r="F4437" s="559"/>
      <c r="G4437" s="558"/>
      <c r="H4437" s="559"/>
      <c r="I4437" s="559"/>
      <c r="J4437" s="559"/>
      <c r="K4437" s="560"/>
      <c r="L4437" s="560"/>
      <c r="M4437" s="560"/>
    </row>
    <row r="4438" spans="3:13" s="338" customFormat="1">
      <c r="C4438" s="558"/>
      <c r="D4438" s="559"/>
      <c r="E4438" s="559"/>
      <c r="F4438" s="559"/>
      <c r="G4438" s="558"/>
      <c r="H4438" s="559"/>
      <c r="I4438" s="559"/>
      <c r="J4438" s="559"/>
      <c r="K4438" s="560"/>
      <c r="L4438" s="560"/>
      <c r="M4438" s="560"/>
    </row>
    <row r="4439" spans="3:13" s="338" customFormat="1">
      <c r="C4439" s="558"/>
      <c r="D4439" s="559"/>
      <c r="E4439" s="559"/>
      <c r="F4439" s="559"/>
      <c r="G4439" s="558"/>
      <c r="H4439" s="559"/>
      <c r="I4439" s="559"/>
      <c r="J4439" s="559"/>
      <c r="K4439" s="560"/>
      <c r="L4439" s="560"/>
      <c r="M4439" s="560"/>
    </row>
    <row r="4440" spans="3:13" s="338" customFormat="1">
      <c r="C4440" s="558"/>
      <c r="D4440" s="559"/>
      <c r="E4440" s="559"/>
      <c r="F4440" s="559"/>
      <c r="G4440" s="558"/>
      <c r="H4440" s="559"/>
      <c r="I4440" s="559"/>
      <c r="J4440" s="559"/>
      <c r="K4440" s="560"/>
      <c r="L4440" s="560"/>
      <c r="M4440" s="560"/>
    </row>
    <row r="4441" spans="3:13" s="338" customFormat="1">
      <c r="C4441" s="558"/>
      <c r="D4441" s="559"/>
      <c r="E4441" s="559"/>
      <c r="F4441" s="559"/>
      <c r="G4441" s="558"/>
      <c r="H4441" s="559"/>
      <c r="I4441" s="559"/>
      <c r="J4441" s="559"/>
      <c r="K4441" s="560"/>
      <c r="L4441" s="560"/>
      <c r="M4441" s="560"/>
    </row>
    <row r="4442" spans="3:13" s="338" customFormat="1">
      <c r="C4442" s="558"/>
      <c r="D4442" s="559"/>
      <c r="E4442" s="559"/>
      <c r="F4442" s="559"/>
      <c r="G4442" s="558"/>
      <c r="H4442" s="559"/>
      <c r="I4442" s="559"/>
      <c r="J4442" s="559"/>
      <c r="K4442" s="560"/>
      <c r="L4442" s="560"/>
      <c r="M4442" s="560"/>
    </row>
    <row r="4443" spans="3:13" s="338" customFormat="1">
      <c r="C4443" s="558"/>
      <c r="D4443" s="559"/>
      <c r="E4443" s="559"/>
      <c r="F4443" s="559"/>
      <c r="G4443" s="558"/>
      <c r="H4443" s="559"/>
      <c r="I4443" s="559"/>
      <c r="J4443" s="559"/>
      <c r="K4443" s="560"/>
      <c r="L4443" s="560"/>
      <c r="M4443" s="560"/>
    </row>
    <row r="4444" spans="3:13" s="338" customFormat="1">
      <c r="C4444" s="558"/>
      <c r="D4444" s="559"/>
      <c r="E4444" s="559"/>
      <c r="F4444" s="559"/>
      <c r="G4444" s="558"/>
      <c r="H4444" s="559"/>
      <c r="I4444" s="559"/>
      <c r="J4444" s="559"/>
      <c r="K4444" s="560"/>
      <c r="L4444" s="560"/>
      <c r="M4444" s="560"/>
    </row>
    <row r="4445" spans="3:13" s="338" customFormat="1">
      <c r="C4445" s="558"/>
      <c r="D4445" s="559"/>
      <c r="E4445" s="559"/>
      <c r="F4445" s="559"/>
      <c r="G4445" s="558"/>
      <c r="H4445" s="559"/>
      <c r="I4445" s="559"/>
      <c r="J4445" s="559"/>
      <c r="K4445" s="560"/>
      <c r="L4445" s="560"/>
      <c r="M4445" s="560"/>
    </row>
    <row r="4446" spans="3:13" s="338" customFormat="1">
      <c r="C4446" s="558"/>
      <c r="D4446" s="559"/>
      <c r="E4446" s="559"/>
      <c r="F4446" s="559"/>
      <c r="G4446" s="558"/>
      <c r="H4446" s="559"/>
      <c r="I4446" s="559"/>
      <c r="J4446" s="559"/>
      <c r="K4446" s="560"/>
      <c r="L4446" s="560"/>
      <c r="M4446" s="560"/>
    </row>
    <row r="4447" spans="3:13" s="338" customFormat="1">
      <c r="C4447" s="558"/>
      <c r="D4447" s="559"/>
      <c r="E4447" s="559"/>
      <c r="F4447" s="559"/>
      <c r="G4447" s="558"/>
      <c r="H4447" s="559"/>
      <c r="I4447" s="559"/>
      <c r="J4447" s="559"/>
      <c r="K4447" s="560"/>
      <c r="L4447" s="560"/>
      <c r="M4447" s="560"/>
    </row>
    <row r="4448" spans="3:13" s="338" customFormat="1">
      <c r="C4448" s="558"/>
      <c r="D4448" s="559"/>
      <c r="E4448" s="559"/>
      <c r="F4448" s="559"/>
      <c r="G4448" s="558"/>
      <c r="H4448" s="559"/>
      <c r="I4448" s="559"/>
      <c r="J4448" s="559"/>
      <c r="K4448" s="560"/>
      <c r="L4448" s="560"/>
      <c r="M4448" s="560"/>
    </row>
    <row r="4449" spans="3:13" s="338" customFormat="1">
      <c r="C4449" s="558"/>
      <c r="D4449" s="559"/>
      <c r="E4449" s="559"/>
      <c r="F4449" s="559"/>
      <c r="G4449" s="558"/>
      <c r="H4449" s="559"/>
      <c r="I4449" s="559"/>
      <c r="J4449" s="559"/>
      <c r="K4449" s="560"/>
      <c r="L4449" s="560"/>
      <c r="M4449" s="560"/>
    </row>
    <row r="4450" spans="3:13" s="338" customFormat="1">
      <c r="C4450" s="558"/>
      <c r="D4450" s="559"/>
      <c r="E4450" s="559"/>
      <c r="F4450" s="559"/>
      <c r="G4450" s="558"/>
      <c r="H4450" s="559"/>
      <c r="I4450" s="559"/>
      <c r="J4450" s="559"/>
      <c r="K4450" s="560"/>
      <c r="L4450" s="560"/>
      <c r="M4450" s="560"/>
    </row>
    <row r="4451" spans="3:13" s="338" customFormat="1">
      <c r="C4451" s="558"/>
      <c r="D4451" s="559"/>
      <c r="E4451" s="559"/>
      <c r="F4451" s="559"/>
      <c r="G4451" s="558"/>
      <c r="H4451" s="559"/>
      <c r="I4451" s="559"/>
      <c r="J4451" s="559"/>
      <c r="K4451" s="560"/>
      <c r="L4451" s="560"/>
      <c r="M4451" s="560"/>
    </row>
    <row r="4452" spans="3:13" s="338" customFormat="1">
      <c r="C4452" s="558"/>
      <c r="D4452" s="559"/>
      <c r="E4452" s="559"/>
      <c r="F4452" s="559"/>
      <c r="G4452" s="558"/>
      <c r="H4452" s="559"/>
      <c r="I4452" s="559"/>
      <c r="J4452" s="559"/>
      <c r="K4452" s="560"/>
      <c r="L4452" s="560"/>
      <c r="M4452" s="560"/>
    </row>
    <row r="4453" spans="3:13" s="338" customFormat="1">
      <c r="C4453" s="558"/>
      <c r="D4453" s="559"/>
      <c r="E4453" s="559"/>
      <c r="F4453" s="559"/>
      <c r="G4453" s="558"/>
      <c r="H4453" s="559"/>
      <c r="I4453" s="559"/>
      <c r="J4453" s="559"/>
      <c r="K4453" s="560"/>
      <c r="L4453" s="560"/>
      <c r="M4453" s="560"/>
    </row>
    <row r="4454" spans="3:13" s="338" customFormat="1">
      <c r="C4454" s="558"/>
      <c r="D4454" s="559"/>
      <c r="E4454" s="559"/>
      <c r="F4454" s="559"/>
      <c r="G4454" s="558"/>
      <c r="H4454" s="559"/>
      <c r="I4454" s="559"/>
      <c r="J4454" s="559"/>
      <c r="K4454" s="560"/>
      <c r="L4454" s="560"/>
      <c r="M4454" s="560"/>
    </row>
    <row r="4455" spans="3:13" s="338" customFormat="1">
      <c r="C4455" s="558"/>
      <c r="D4455" s="559"/>
      <c r="E4455" s="559"/>
      <c r="F4455" s="559"/>
      <c r="G4455" s="558"/>
      <c r="H4455" s="559"/>
      <c r="I4455" s="559"/>
      <c r="J4455" s="559"/>
      <c r="K4455" s="560"/>
      <c r="L4455" s="560"/>
      <c r="M4455" s="560"/>
    </row>
    <row r="4456" spans="3:13" s="338" customFormat="1">
      <c r="C4456" s="558"/>
      <c r="D4456" s="559"/>
      <c r="E4456" s="559"/>
      <c r="F4456" s="559"/>
      <c r="G4456" s="558"/>
      <c r="H4456" s="559"/>
      <c r="I4456" s="559"/>
      <c r="J4456" s="559"/>
      <c r="K4456" s="560"/>
      <c r="L4456" s="560"/>
      <c r="M4456" s="560"/>
    </row>
    <row r="4457" spans="3:13" s="338" customFormat="1">
      <c r="C4457" s="558"/>
      <c r="D4457" s="559"/>
      <c r="E4457" s="559"/>
      <c r="F4457" s="559"/>
      <c r="G4457" s="558"/>
      <c r="H4457" s="559"/>
      <c r="I4457" s="559"/>
      <c r="J4457" s="559"/>
      <c r="K4457" s="560"/>
      <c r="L4457" s="560"/>
      <c r="M4457" s="560"/>
    </row>
    <row r="4458" spans="3:13" s="338" customFormat="1">
      <c r="C4458" s="558"/>
      <c r="D4458" s="559"/>
      <c r="E4458" s="559"/>
      <c r="F4458" s="559"/>
      <c r="G4458" s="558"/>
      <c r="H4458" s="559"/>
      <c r="I4458" s="559"/>
      <c r="J4458" s="559"/>
      <c r="K4458" s="560"/>
      <c r="L4458" s="560"/>
      <c r="M4458" s="560"/>
    </row>
    <row r="4459" spans="3:13" s="338" customFormat="1">
      <c r="C4459" s="558"/>
      <c r="D4459" s="559"/>
      <c r="E4459" s="559"/>
      <c r="F4459" s="559"/>
      <c r="G4459" s="558"/>
      <c r="H4459" s="559"/>
      <c r="I4459" s="559"/>
      <c r="J4459" s="559"/>
      <c r="K4459" s="560"/>
      <c r="L4459" s="560"/>
      <c r="M4459" s="560"/>
    </row>
    <row r="4460" spans="3:13" s="338" customFormat="1">
      <c r="C4460" s="558"/>
      <c r="D4460" s="559"/>
      <c r="E4460" s="559"/>
      <c r="F4460" s="559"/>
      <c r="G4460" s="558"/>
      <c r="H4460" s="559"/>
      <c r="I4460" s="559"/>
      <c r="J4460" s="559"/>
      <c r="K4460" s="560"/>
      <c r="L4460" s="560"/>
      <c r="M4460" s="560"/>
    </row>
    <row r="4461" spans="3:13" s="338" customFormat="1">
      <c r="C4461" s="558"/>
      <c r="D4461" s="559"/>
      <c r="E4461" s="559"/>
      <c r="F4461" s="559"/>
      <c r="G4461" s="558"/>
      <c r="H4461" s="559"/>
      <c r="I4461" s="559"/>
      <c r="J4461" s="559"/>
      <c r="K4461" s="560"/>
      <c r="L4461" s="560"/>
      <c r="M4461" s="560"/>
    </row>
    <row r="4462" spans="3:13" s="338" customFormat="1">
      <c r="C4462" s="558"/>
      <c r="D4462" s="559"/>
      <c r="E4462" s="559"/>
      <c r="F4462" s="559"/>
      <c r="G4462" s="558"/>
      <c r="H4462" s="559"/>
      <c r="I4462" s="559"/>
      <c r="J4462" s="559"/>
      <c r="K4462" s="560"/>
      <c r="L4462" s="560"/>
      <c r="M4462" s="560"/>
    </row>
    <row r="4463" spans="3:13" s="338" customFormat="1">
      <c r="C4463" s="558"/>
      <c r="D4463" s="559"/>
      <c r="E4463" s="559"/>
      <c r="F4463" s="559"/>
      <c r="G4463" s="558"/>
      <c r="H4463" s="559"/>
      <c r="I4463" s="559"/>
      <c r="J4463" s="559"/>
      <c r="K4463" s="560"/>
      <c r="L4463" s="560"/>
      <c r="M4463" s="560"/>
    </row>
    <row r="4464" spans="3:13" s="338" customFormat="1">
      <c r="C4464" s="558"/>
      <c r="D4464" s="559"/>
      <c r="E4464" s="559"/>
      <c r="F4464" s="559"/>
      <c r="G4464" s="558"/>
      <c r="H4464" s="559"/>
      <c r="I4464" s="559"/>
      <c r="J4464" s="559"/>
      <c r="K4464" s="560"/>
      <c r="L4464" s="560"/>
      <c r="M4464" s="560"/>
    </row>
    <row r="4465" spans="3:13" s="338" customFormat="1">
      <c r="C4465" s="558"/>
      <c r="D4465" s="559"/>
      <c r="E4465" s="559"/>
      <c r="F4465" s="559"/>
      <c r="G4465" s="558"/>
      <c r="H4465" s="559"/>
      <c r="I4465" s="559"/>
      <c r="J4465" s="559"/>
      <c r="K4465" s="560"/>
      <c r="L4465" s="560"/>
      <c r="M4465" s="560"/>
    </row>
    <row r="4466" spans="3:13" s="338" customFormat="1">
      <c r="C4466" s="558"/>
      <c r="D4466" s="559"/>
      <c r="E4466" s="559"/>
      <c r="F4466" s="559"/>
      <c r="G4466" s="558"/>
      <c r="H4466" s="559"/>
      <c r="I4466" s="559"/>
      <c r="J4466" s="559"/>
      <c r="K4466" s="560"/>
      <c r="L4466" s="560"/>
      <c r="M4466" s="560"/>
    </row>
    <row r="4467" spans="3:13" s="338" customFormat="1">
      <c r="C4467" s="558"/>
      <c r="D4467" s="559"/>
      <c r="E4467" s="559"/>
      <c r="F4467" s="559"/>
      <c r="G4467" s="558"/>
      <c r="H4467" s="559"/>
      <c r="I4467" s="559"/>
      <c r="J4467" s="559"/>
      <c r="K4467" s="560"/>
      <c r="L4467" s="560"/>
      <c r="M4467" s="560"/>
    </row>
    <row r="4468" spans="3:13" s="338" customFormat="1">
      <c r="C4468" s="558"/>
      <c r="D4468" s="559"/>
      <c r="E4468" s="559"/>
      <c r="F4468" s="559"/>
      <c r="G4468" s="558"/>
      <c r="H4468" s="559"/>
      <c r="I4468" s="559"/>
      <c r="J4468" s="559"/>
      <c r="K4468" s="560"/>
      <c r="L4468" s="560"/>
      <c r="M4468" s="560"/>
    </row>
    <row r="4469" spans="3:13" s="338" customFormat="1">
      <c r="C4469" s="558"/>
      <c r="D4469" s="559"/>
      <c r="E4469" s="559"/>
      <c r="F4469" s="559"/>
      <c r="G4469" s="558"/>
      <c r="H4469" s="559"/>
      <c r="I4469" s="559"/>
      <c r="J4469" s="559"/>
      <c r="K4469" s="560"/>
      <c r="L4469" s="560"/>
      <c r="M4469" s="560"/>
    </row>
    <row r="4470" spans="3:13" s="338" customFormat="1">
      <c r="C4470" s="558"/>
      <c r="D4470" s="559"/>
      <c r="E4470" s="559"/>
      <c r="F4470" s="559"/>
      <c r="G4470" s="558"/>
      <c r="H4470" s="559"/>
      <c r="I4470" s="559"/>
      <c r="J4470" s="559"/>
      <c r="K4470" s="560"/>
      <c r="L4470" s="560"/>
      <c r="M4470" s="560"/>
    </row>
    <row r="4471" spans="3:13" s="338" customFormat="1">
      <c r="C4471" s="558"/>
      <c r="D4471" s="559"/>
      <c r="E4471" s="559"/>
      <c r="F4471" s="559"/>
      <c r="G4471" s="558"/>
      <c r="H4471" s="559"/>
      <c r="I4471" s="559"/>
      <c r="J4471" s="559"/>
      <c r="K4471" s="560"/>
      <c r="L4471" s="560"/>
      <c r="M4471" s="560"/>
    </row>
    <row r="4472" spans="3:13" s="338" customFormat="1">
      <c r="C4472" s="558"/>
      <c r="D4472" s="559"/>
      <c r="E4472" s="559"/>
      <c r="F4472" s="559"/>
      <c r="G4472" s="558"/>
      <c r="H4472" s="559"/>
      <c r="I4472" s="559"/>
      <c r="J4472" s="559"/>
      <c r="K4472" s="560"/>
      <c r="L4472" s="560"/>
      <c r="M4472" s="560"/>
    </row>
    <row r="4473" spans="3:13" s="338" customFormat="1">
      <c r="C4473" s="558"/>
      <c r="D4473" s="559"/>
      <c r="E4473" s="559"/>
      <c r="F4473" s="559"/>
      <c r="G4473" s="558"/>
      <c r="H4473" s="559"/>
      <c r="I4473" s="559"/>
      <c r="J4473" s="559"/>
      <c r="K4473" s="560"/>
      <c r="L4473" s="560"/>
      <c r="M4473" s="560"/>
    </row>
    <row r="4474" spans="3:13" s="338" customFormat="1">
      <c r="C4474" s="558"/>
      <c r="D4474" s="559"/>
      <c r="E4474" s="559"/>
      <c r="F4474" s="559"/>
      <c r="G4474" s="558"/>
      <c r="H4474" s="559"/>
      <c r="I4474" s="559"/>
      <c r="J4474" s="559"/>
      <c r="K4474" s="560"/>
      <c r="L4474" s="560"/>
      <c r="M4474" s="560"/>
    </row>
    <row r="4475" spans="3:13" s="338" customFormat="1">
      <c r="C4475" s="558"/>
      <c r="D4475" s="559"/>
      <c r="E4475" s="559"/>
      <c r="F4475" s="559"/>
      <c r="G4475" s="558"/>
      <c r="H4475" s="559"/>
      <c r="I4475" s="559"/>
      <c r="J4475" s="559"/>
      <c r="K4475" s="560"/>
      <c r="L4475" s="560"/>
      <c r="M4475" s="560"/>
    </row>
    <row r="4476" spans="3:13" s="338" customFormat="1">
      <c r="C4476" s="558"/>
      <c r="D4476" s="559"/>
      <c r="E4476" s="559"/>
      <c r="F4476" s="559"/>
      <c r="G4476" s="558"/>
      <c r="H4476" s="559"/>
      <c r="I4476" s="559"/>
      <c r="J4476" s="559"/>
      <c r="K4476" s="560"/>
      <c r="L4476" s="560"/>
      <c r="M4476" s="560"/>
    </row>
    <row r="4477" spans="3:13" s="338" customFormat="1">
      <c r="C4477" s="558"/>
      <c r="D4477" s="559"/>
      <c r="E4477" s="559"/>
      <c r="F4477" s="559"/>
      <c r="G4477" s="558"/>
      <c r="H4477" s="559"/>
      <c r="I4477" s="559"/>
      <c r="J4477" s="559"/>
      <c r="K4477" s="560"/>
      <c r="L4477" s="560"/>
      <c r="M4477" s="560"/>
    </row>
    <row r="4478" spans="3:13" s="338" customFormat="1">
      <c r="C4478" s="558"/>
      <c r="D4478" s="559"/>
      <c r="E4478" s="559"/>
      <c r="F4478" s="559"/>
      <c r="G4478" s="558"/>
      <c r="H4478" s="559"/>
      <c r="I4478" s="559"/>
      <c r="J4478" s="559"/>
      <c r="K4478" s="560"/>
      <c r="L4478" s="560"/>
      <c r="M4478" s="560"/>
    </row>
    <row r="4479" spans="3:13" s="338" customFormat="1">
      <c r="C4479" s="558"/>
      <c r="D4479" s="559"/>
      <c r="E4479" s="559"/>
      <c r="F4479" s="559"/>
      <c r="G4479" s="558"/>
      <c r="H4479" s="559"/>
      <c r="I4479" s="559"/>
      <c r="J4479" s="559"/>
      <c r="K4479" s="560"/>
      <c r="L4479" s="560"/>
      <c r="M4479" s="560"/>
    </row>
    <row r="4480" spans="3:13" s="338" customFormat="1">
      <c r="C4480" s="558"/>
      <c r="D4480" s="559"/>
      <c r="E4480" s="559"/>
      <c r="F4480" s="559"/>
      <c r="G4480" s="558"/>
      <c r="H4480" s="559"/>
      <c r="I4480" s="559"/>
      <c r="J4480" s="559"/>
      <c r="K4480" s="560"/>
      <c r="L4480" s="560"/>
      <c r="M4480" s="560"/>
    </row>
    <row r="4481" spans="3:13" s="338" customFormat="1">
      <c r="C4481" s="558"/>
      <c r="D4481" s="559"/>
      <c r="E4481" s="559"/>
      <c r="F4481" s="559"/>
      <c r="G4481" s="558"/>
      <c r="H4481" s="559"/>
      <c r="I4481" s="559"/>
      <c r="J4481" s="559"/>
      <c r="K4481" s="560"/>
      <c r="L4481" s="560"/>
      <c r="M4481" s="560"/>
    </row>
    <row r="4482" spans="3:13" s="338" customFormat="1">
      <c r="C4482" s="558"/>
      <c r="D4482" s="559"/>
      <c r="E4482" s="559"/>
      <c r="F4482" s="559"/>
      <c r="G4482" s="558"/>
      <c r="H4482" s="559"/>
      <c r="I4482" s="559"/>
      <c r="J4482" s="559"/>
      <c r="K4482" s="560"/>
      <c r="L4482" s="560"/>
      <c r="M4482" s="560"/>
    </row>
    <row r="4483" spans="3:13" s="338" customFormat="1">
      <c r="C4483" s="558"/>
      <c r="D4483" s="559"/>
      <c r="E4483" s="559"/>
      <c r="F4483" s="559"/>
      <c r="G4483" s="558"/>
      <c r="H4483" s="559"/>
      <c r="I4483" s="559"/>
      <c r="J4483" s="559"/>
      <c r="K4483" s="560"/>
      <c r="L4483" s="560"/>
      <c r="M4483" s="560"/>
    </row>
    <row r="4484" spans="3:13" s="338" customFormat="1">
      <c r="C4484" s="558"/>
      <c r="D4484" s="559"/>
      <c r="E4484" s="559"/>
      <c r="F4484" s="559"/>
      <c r="G4484" s="558"/>
      <c r="H4484" s="559"/>
      <c r="I4484" s="559"/>
      <c r="J4484" s="559"/>
      <c r="K4484" s="560"/>
      <c r="L4484" s="560"/>
      <c r="M4484" s="560"/>
    </row>
    <row r="4485" spans="3:13" s="338" customFormat="1">
      <c r="C4485" s="558"/>
      <c r="D4485" s="559"/>
      <c r="E4485" s="559"/>
      <c r="F4485" s="559"/>
      <c r="G4485" s="558"/>
      <c r="H4485" s="559"/>
      <c r="I4485" s="559"/>
      <c r="J4485" s="559"/>
      <c r="K4485" s="560"/>
      <c r="L4485" s="560"/>
      <c r="M4485" s="560"/>
    </row>
    <row r="4486" spans="3:13" s="338" customFormat="1">
      <c r="C4486" s="558"/>
      <c r="D4486" s="559"/>
      <c r="E4486" s="559"/>
      <c r="F4486" s="559"/>
      <c r="G4486" s="558"/>
      <c r="H4486" s="559"/>
      <c r="I4486" s="559"/>
      <c r="J4486" s="559"/>
      <c r="K4486" s="560"/>
      <c r="L4486" s="560"/>
      <c r="M4486" s="560"/>
    </row>
    <row r="4487" spans="3:13" s="338" customFormat="1">
      <c r="C4487" s="558"/>
      <c r="D4487" s="559"/>
      <c r="E4487" s="559"/>
      <c r="F4487" s="559"/>
      <c r="G4487" s="558"/>
      <c r="H4487" s="559"/>
      <c r="I4487" s="559"/>
      <c r="J4487" s="559"/>
      <c r="K4487" s="560"/>
      <c r="L4487" s="560"/>
      <c r="M4487" s="560"/>
    </row>
    <row r="4488" spans="3:13" s="338" customFormat="1">
      <c r="C4488" s="558"/>
      <c r="D4488" s="559"/>
      <c r="E4488" s="559"/>
      <c r="F4488" s="559"/>
      <c r="G4488" s="558"/>
      <c r="H4488" s="559"/>
      <c r="I4488" s="559"/>
      <c r="J4488" s="559"/>
      <c r="K4488" s="560"/>
      <c r="L4488" s="560"/>
      <c r="M4488" s="560"/>
    </row>
    <row r="4489" spans="3:13" s="338" customFormat="1">
      <c r="C4489" s="558"/>
      <c r="D4489" s="559"/>
      <c r="E4489" s="559"/>
      <c r="F4489" s="559"/>
      <c r="G4489" s="558"/>
      <c r="H4489" s="559"/>
      <c r="I4489" s="559"/>
      <c r="J4489" s="559"/>
      <c r="K4489" s="560"/>
      <c r="L4489" s="560"/>
      <c r="M4489" s="560"/>
    </row>
    <row r="4490" spans="3:13" s="338" customFormat="1">
      <c r="C4490" s="558"/>
      <c r="D4490" s="559"/>
      <c r="E4490" s="559"/>
      <c r="F4490" s="559"/>
      <c r="G4490" s="558"/>
      <c r="H4490" s="559"/>
      <c r="I4490" s="559"/>
      <c r="J4490" s="559"/>
      <c r="K4490" s="560"/>
      <c r="L4490" s="560"/>
      <c r="M4490" s="560"/>
    </row>
    <row r="4491" spans="3:13" s="338" customFormat="1">
      <c r="C4491" s="558"/>
      <c r="D4491" s="559"/>
      <c r="E4491" s="559"/>
      <c r="F4491" s="559"/>
      <c r="G4491" s="558"/>
      <c r="H4491" s="559"/>
      <c r="I4491" s="559"/>
      <c r="J4491" s="559"/>
      <c r="K4491" s="560"/>
      <c r="L4491" s="560"/>
      <c r="M4491" s="560"/>
    </row>
    <row r="4492" spans="3:13" s="338" customFormat="1">
      <c r="C4492" s="558"/>
      <c r="D4492" s="559"/>
      <c r="E4492" s="559"/>
      <c r="F4492" s="559"/>
      <c r="G4492" s="558"/>
      <c r="H4492" s="559"/>
      <c r="I4492" s="559"/>
      <c r="J4492" s="559"/>
      <c r="K4492" s="560"/>
      <c r="L4492" s="560"/>
      <c r="M4492" s="560"/>
    </row>
    <row r="4493" spans="3:13" s="338" customFormat="1">
      <c r="C4493" s="558"/>
      <c r="D4493" s="559"/>
      <c r="E4493" s="559"/>
      <c r="F4493" s="559"/>
      <c r="G4493" s="558"/>
      <c r="H4493" s="559"/>
      <c r="I4493" s="559"/>
      <c r="J4493" s="559"/>
      <c r="K4493" s="560"/>
      <c r="L4493" s="560"/>
      <c r="M4493" s="560"/>
    </row>
    <row r="4494" spans="3:13" s="338" customFormat="1">
      <c r="C4494" s="558"/>
      <c r="D4494" s="559"/>
      <c r="E4494" s="559"/>
      <c r="F4494" s="559"/>
      <c r="G4494" s="558"/>
      <c r="H4494" s="559"/>
      <c r="I4494" s="559"/>
      <c r="J4494" s="559"/>
      <c r="K4494" s="560"/>
      <c r="L4494" s="560"/>
      <c r="M4494" s="560"/>
    </row>
    <row r="4495" spans="3:13" s="338" customFormat="1">
      <c r="C4495" s="558"/>
      <c r="D4495" s="559"/>
      <c r="E4495" s="559"/>
      <c r="F4495" s="559"/>
      <c r="G4495" s="558"/>
      <c r="H4495" s="559"/>
      <c r="I4495" s="559"/>
      <c r="J4495" s="559"/>
      <c r="K4495" s="560"/>
      <c r="L4495" s="560"/>
      <c r="M4495" s="560"/>
    </row>
    <row r="4496" spans="3:13" s="338" customFormat="1">
      <c r="C4496" s="558"/>
      <c r="D4496" s="559"/>
      <c r="E4496" s="559"/>
      <c r="F4496" s="559"/>
      <c r="G4496" s="558"/>
      <c r="H4496" s="559"/>
      <c r="I4496" s="559"/>
      <c r="J4496" s="559"/>
      <c r="K4496" s="560"/>
      <c r="L4496" s="560"/>
      <c r="M4496" s="560"/>
    </row>
    <row r="4497" spans="3:13" s="338" customFormat="1">
      <c r="C4497" s="558"/>
      <c r="D4497" s="559"/>
      <c r="E4497" s="559"/>
      <c r="F4497" s="559"/>
      <c r="G4497" s="558"/>
      <c r="H4497" s="559"/>
      <c r="I4497" s="559"/>
      <c r="J4497" s="559"/>
      <c r="K4497" s="560"/>
      <c r="L4497" s="560"/>
      <c r="M4497" s="560"/>
    </row>
    <row r="4498" spans="3:13" s="338" customFormat="1">
      <c r="C4498" s="558"/>
      <c r="D4498" s="559"/>
      <c r="E4498" s="559"/>
      <c r="F4498" s="559"/>
      <c r="G4498" s="558"/>
      <c r="H4498" s="559"/>
      <c r="I4498" s="559"/>
      <c r="J4498" s="559"/>
      <c r="K4498" s="560"/>
      <c r="L4498" s="560"/>
      <c r="M4498" s="560"/>
    </row>
    <row r="4499" spans="3:13" s="338" customFormat="1">
      <c r="C4499" s="558"/>
      <c r="D4499" s="559"/>
      <c r="E4499" s="559"/>
      <c r="F4499" s="559"/>
      <c r="G4499" s="558"/>
      <c r="H4499" s="559"/>
      <c r="I4499" s="559"/>
      <c r="J4499" s="559"/>
      <c r="K4499" s="560"/>
      <c r="L4499" s="560"/>
      <c r="M4499" s="560"/>
    </row>
    <row r="4500" spans="3:13" s="338" customFormat="1">
      <c r="C4500" s="558"/>
      <c r="D4500" s="559"/>
      <c r="E4500" s="559"/>
      <c r="F4500" s="559"/>
      <c r="G4500" s="558"/>
      <c r="H4500" s="559"/>
      <c r="I4500" s="559"/>
      <c r="J4500" s="559"/>
      <c r="K4500" s="560"/>
      <c r="L4500" s="560"/>
      <c r="M4500" s="560"/>
    </row>
    <row r="4501" spans="3:13" s="338" customFormat="1">
      <c r="C4501" s="558"/>
      <c r="D4501" s="559"/>
      <c r="E4501" s="559"/>
      <c r="F4501" s="559"/>
      <c r="G4501" s="558"/>
      <c r="H4501" s="559"/>
      <c r="I4501" s="559"/>
      <c r="J4501" s="559"/>
      <c r="K4501" s="560"/>
      <c r="L4501" s="560"/>
      <c r="M4501" s="560"/>
    </row>
    <row r="4502" spans="3:13" s="338" customFormat="1">
      <c r="C4502" s="558"/>
      <c r="D4502" s="559"/>
      <c r="E4502" s="559"/>
      <c r="F4502" s="559"/>
      <c r="G4502" s="558"/>
      <c r="H4502" s="559"/>
      <c r="I4502" s="559"/>
      <c r="J4502" s="559"/>
      <c r="K4502" s="560"/>
      <c r="L4502" s="560"/>
      <c r="M4502" s="560"/>
    </row>
    <row r="4503" spans="3:13" s="338" customFormat="1">
      <c r="C4503" s="558"/>
      <c r="D4503" s="559"/>
      <c r="E4503" s="559"/>
      <c r="F4503" s="559"/>
      <c r="G4503" s="558"/>
      <c r="H4503" s="559"/>
      <c r="I4503" s="559"/>
      <c r="J4503" s="559"/>
      <c r="K4503" s="560"/>
      <c r="L4503" s="560"/>
      <c r="M4503" s="560"/>
    </row>
    <row r="4504" spans="3:13" s="338" customFormat="1">
      <c r="C4504" s="558"/>
      <c r="D4504" s="559"/>
      <c r="E4504" s="559"/>
      <c r="F4504" s="559"/>
      <c r="G4504" s="558"/>
      <c r="H4504" s="559"/>
      <c r="I4504" s="559"/>
      <c r="J4504" s="559"/>
      <c r="K4504" s="560"/>
      <c r="L4504" s="560"/>
      <c r="M4504" s="560"/>
    </row>
    <row r="4505" spans="3:13" s="338" customFormat="1">
      <c r="C4505" s="558"/>
      <c r="D4505" s="559"/>
      <c r="E4505" s="559"/>
      <c r="F4505" s="559"/>
      <c r="G4505" s="558"/>
      <c r="H4505" s="559"/>
      <c r="I4505" s="559"/>
      <c r="J4505" s="559"/>
      <c r="K4505" s="560"/>
      <c r="L4505" s="560"/>
      <c r="M4505" s="560"/>
    </row>
    <row r="4506" spans="3:13" s="338" customFormat="1">
      <c r="C4506" s="558"/>
      <c r="D4506" s="559"/>
      <c r="E4506" s="559"/>
      <c r="F4506" s="559"/>
      <c r="G4506" s="558"/>
      <c r="H4506" s="559"/>
      <c r="I4506" s="559"/>
      <c r="J4506" s="559"/>
      <c r="K4506" s="560"/>
      <c r="L4506" s="560"/>
      <c r="M4506" s="560"/>
    </row>
    <row r="4507" spans="3:13" s="338" customFormat="1">
      <c r="C4507" s="558"/>
      <c r="D4507" s="559"/>
      <c r="E4507" s="559"/>
      <c r="F4507" s="559"/>
      <c r="G4507" s="558"/>
      <c r="H4507" s="559"/>
      <c r="I4507" s="559"/>
      <c r="J4507" s="559"/>
      <c r="K4507" s="560"/>
      <c r="L4507" s="560"/>
      <c r="M4507" s="560"/>
    </row>
    <row r="4508" spans="3:13" s="338" customFormat="1">
      <c r="C4508" s="558"/>
      <c r="D4508" s="559"/>
      <c r="E4508" s="559"/>
      <c r="F4508" s="559"/>
      <c r="G4508" s="558"/>
      <c r="H4508" s="559"/>
      <c r="I4508" s="559"/>
      <c r="J4508" s="559"/>
      <c r="K4508" s="560"/>
      <c r="L4508" s="560"/>
      <c r="M4508" s="560"/>
    </row>
    <row r="4509" spans="3:13" s="338" customFormat="1">
      <c r="C4509" s="558"/>
      <c r="D4509" s="559"/>
      <c r="E4509" s="559"/>
      <c r="F4509" s="559"/>
      <c r="G4509" s="558"/>
      <c r="H4509" s="559"/>
      <c r="I4509" s="559"/>
      <c r="J4509" s="559"/>
      <c r="K4509" s="560"/>
      <c r="L4509" s="560"/>
      <c r="M4509" s="560"/>
    </row>
    <row r="4510" spans="3:13" s="338" customFormat="1">
      <c r="C4510" s="558"/>
      <c r="D4510" s="559"/>
      <c r="E4510" s="559"/>
      <c r="F4510" s="559"/>
      <c r="G4510" s="558"/>
      <c r="H4510" s="559"/>
      <c r="I4510" s="559"/>
      <c r="J4510" s="559"/>
      <c r="K4510" s="560"/>
      <c r="L4510" s="560"/>
      <c r="M4510" s="560"/>
    </row>
    <row r="4511" spans="3:13" s="338" customFormat="1">
      <c r="C4511" s="558"/>
      <c r="D4511" s="559"/>
      <c r="E4511" s="559"/>
      <c r="F4511" s="559"/>
      <c r="G4511" s="558"/>
      <c r="H4511" s="559"/>
      <c r="I4511" s="559"/>
      <c r="J4511" s="559"/>
      <c r="K4511" s="560"/>
      <c r="L4511" s="560"/>
      <c r="M4511" s="560"/>
    </row>
    <row r="4512" spans="3:13" s="338" customFormat="1">
      <c r="C4512" s="558"/>
      <c r="D4512" s="559"/>
      <c r="E4512" s="559"/>
      <c r="F4512" s="559"/>
      <c r="G4512" s="558"/>
      <c r="H4512" s="559"/>
      <c r="I4512" s="559"/>
      <c r="J4512" s="559"/>
      <c r="K4512" s="560"/>
      <c r="L4512" s="560"/>
      <c r="M4512" s="560"/>
    </row>
    <row r="4513" spans="3:13" s="338" customFormat="1">
      <c r="C4513" s="558"/>
      <c r="D4513" s="559"/>
      <c r="E4513" s="559"/>
      <c r="F4513" s="559"/>
      <c r="G4513" s="558"/>
      <c r="H4513" s="559"/>
      <c r="I4513" s="559"/>
      <c r="J4513" s="559"/>
      <c r="K4513" s="560"/>
      <c r="L4513" s="560"/>
      <c r="M4513" s="560"/>
    </row>
    <row r="4514" spans="3:13" s="338" customFormat="1">
      <c r="C4514" s="558"/>
      <c r="D4514" s="559"/>
      <c r="E4514" s="559"/>
      <c r="F4514" s="559"/>
      <c r="G4514" s="558"/>
      <c r="H4514" s="559"/>
      <c r="I4514" s="559"/>
      <c r="J4514" s="559"/>
      <c r="K4514" s="560"/>
      <c r="L4514" s="560"/>
      <c r="M4514" s="560"/>
    </row>
    <row r="4515" spans="3:13" s="338" customFormat="1">
      <c r="C4515" s="558"/>
      <c r="D4515" s="559"/>
      <c r="E4515" s="559"/>
      <c r="F4515" s="559"/>
      <c r="G4515" s="558"/>
      <c r="H4515" s="559"/>
      <c r="I4515" s="559"/>
      <c r="J4515" s="559"/>
      <c r="K4515" s="560"/>
      <c r="L4515" s="560"/>
      <c r="M4515" s="560"/>
    </row>
    <row r="4516" spans="3:13" s="338" customFormat="1">
      <c r="C4516" s="558"/>
      <c r="D4516" s="559"/>
      <c r="E4516" s="559"/>
      <c r="F4516" s="559"/>
      <c r="G4516" s="558"/>
      <c r="H4516" s="559"/>
      <c r="I4516" s="559"/>
      <c r="J4516" s="559"/>
      <c r="K4516" s="560"/>
      <c r="L4516" s="560"/>
      <c r="M4516" s="560"/>
    </row>
    <row r="4517" spans="3:13" s="338" customFormat="1">
      <c r="C4517" s="558"/>
      <c r="D4517" s="559"/>
      <c r="E4517" s="559"/>
      <c r="F4517" s="559"/>
      <c r="G4517" s="558"/>
      <c r="H4517" s="559"/>
      <c r="I4517" s="559"/>
      <c r="J4517" s="559"/>
      <c r="K4517" s="560"/>
      <c r="L4517" s="560"/>
      <c r="M4517" s="560"/>
    </row>
    <row r="4518" spans="3:13" s="338" customFormat="1">
      <c r="C4518" s="558"/>
      <c r="D4518" s="559"/>
      <c r="E4518" s="559"/>
      <c r="F4518" s="559"/>
      <c r="G4518" s="558"/>
      <c r="H4518" s="559"/>
      <c r="I4518" s="559"/>
      <c r="J4518" s="559"/>
      <c r="K4518" s="560"/>
      <c r="L4518" s="560"/>
      <c r="M4518" s="560"/>
    </row>
    <row r="4519" spans="3:13" s="338" customFormat="1">
      <c r="C4519" s="558"/>
      <c r="D4519" s="559"/>
      <c r="E4519" s="559"/>
      <c r="F4519" s="559"/>
      <c r="G4519" s="558"/>
      <c r="H4519" s="559"/>
      <c r="I4519" s="559"/>
      <c r="J4519" s="559"/>
      <c r="K4519" s="560"/>
      <c r="L4519" s="560"/>
      <c r="M4519" s="560"/>
    </row>
    <row r="4520" spans="3:13" s="338" customFormat="1">
      <c r="C4520" s="558"/>
      <c r="D4520" s="559"/>
      <c r="E4520" s="559"/>
      <c r="F4520" s="559"/>
      <c r="G4520" s="558"/>
      <c r="H4520" s="559"/>
      <c r="I4520" s="559"/>
      <c r="J4520" s="559"/>
      <c r="K4520" s="560"/>
      <c r="L4520" s="560"/>
      <c r="M4520" s="560"/>
    </row>
    <row r="4521" spans="3:13" s="338" customFormat="1">
      <c r="C4521" s="558"/>
      <c r="D4521" s="559"/>
      <c r="E4521" s="559"/>
      <c r="F4521" s="559"/>
      <c r="G4521" s="558"/>
      <c r="H4521" s="559"/>
      <c r="I4521" s="559"/>
      <c r="J4521" s="559"/>
      <c r="K4521" s="560"/>
      <c r="L4521" s="560"/>
      <c r="M4521" s="560"/>
    </row>
    <row r="4522" spans="3:13" s="338" customFormat="1">
      <c r="C4522" s="558"/>
      <c r="D4522" s="559"/>
      <c r="E4522" s="559"/>
      <c r="F4522" s="559"/>
      <c r="G4522" s="558"/>
      <c r="H4522" s="559"/>
      <c r="I4522" s="559"/>
      <c r="J4522" s="559"/>
      <c r="K4522" s="560"/>
      <c r="L4522" s="560"/>
      <c r="M4522" s="560"/>
    </row>
    <row r="4523" spans="3:13" s="338" customFormat="1">
      <c r="C4523" s="558"/>
      <c r="D4523" s="559"/>
      <c r="E4523" s="559"/>
      <c r="F4523" s="559"/>
      <c r="G4523" s="558"/>
      <c r="H4523" s="559"/>
      <c r="I4523" s="559"/>
      <c r="J4523" s="559"/>
      <c r="K4523" s="560"/>
      <c r="L4523" s="560"/>
      <c r="M4523" s="560"/>
    </row>
    <row r="4524" spans="3:13" s="338" customFormat="1">
      <c r="C4524" s="558"/>
      <c r="D4524" s="559"/>
      <c r="E4524" s="559"/>
      <c r="F4524" s="559"/>
      <c r="G4524" s="558"/>
      <c r="H4524" s="559"/>
      <c r="I4524" s="559"/>
      <c r="J4524" s="559"/>
      <c r="K4524" s="560"/>
      <c r="L4524" s="560"/>
      <c r="M4524" s="560"/>
    </row>
    <row r="4525" spans="3:13" s="338" customFormat="1">
      <c r="C4525" s="558"/>
      <c r="D4525" s="559"/>
      <c r="E4525" s="559"/>
      <c r="F4525" s="559"/>
      <c r="G4525" s="558"/>
      <c r="H4525" s="559"/>
      <c r="I4525" s="559"/>
      <c r="J4525" s="559"/>
      <c r="K4525" s="560"/>
      <c r="L4525" s="560"/>
      <c r="M4525" s="560"/>
    </row>
    <row r="4526" spans="3:13" s="338" customFormat="1">
      <c r="C4526" s="558"/>
      <c r="D4526" s="559"/>
      <c r="E4526" s="559"/>
      <c r="F4526" s="559"/>
      <c r="G4526" s="558"/>
      <c r="H4526" s="559"/>
      <c r="I4526" s="559"/>
      <c r="J4526" s="559"/>
      <c r="K4526" s="560"/>
      <c r="L4526" s="560"/>
      <c r="M4526" s="560"/>
    </row>
    <row r="4527" spans="3:13" s="338" customFormat="1">
      <c r="C4527" s="558"/>
      <c r="D4527" s="559"/>
      <c r="E4527" s="559"/>
      <c r="F4527" s="559"/>
      <c r="G4527" s="558"/>
      <c r="H4527" s="559"/>
      <c r="I4527" s="559"/>
      <c r="J4527" s="559"/>
      <c r="K4527" s="560"/>
      <c r="L4527" s="560"/>
      <c r="M4527" s="560"/>
    </row>
    <row r="4528" spans="3:13" s="338" customFormat="1">
      <c r="C4528" s="558"/>
      <c r="D4528" s="559"/>
      <c r="E4528" s="559"/>
      <c r="F4528" s="559"/>
      <c r="G4528" s="558"/>
      <c r="H4528" s="559"/>
      <c r="I4528" s="559"/>
      <c r="J4528" s="559"/>
      <c r="K4528" s="560"/>
      <c r="L4528" s="560"/>
      <c r="M4528" s="560"/>
    </row>
    <row r="4529" spans="3:13" s="338" customFormat="1">
      <c r="C4529" s="558"/>
      <c r="D4529" s="559"/>
      <c r="E4529" s="559"/>
      <c r="F4529" s="559"/>
      <c r="G4529" s="558"/>
      <c r="H4529" s="559"/>
      <c r="I4529" s="559"/>
      <c r="J4529" s="559"/>
      <c r="K4529" s="560"/>
      <c r="L4529" s="560"/>
      <c r="M4529" s="560"/>
    </row>
    <row r="4530" spans="3:13" s="338" customFormat="1">
      <c r="C4530" s="558"/>
      <c r="D4530" s="559"/>
      <c r="E4530" s="559"/>
      <c r="F4530" s="559"/>
      <c r="G4530" s="558"/>
      <c r="H4530" s="559"/>
      <c r="I4530" s="559"/>
      <c r="J4530" s="559"/>
      <c r="K4530" s="560"/>
      <c r="L4530" s="560"/>
      <c r="M4530" s="560"/>
    </row>
    <row r="4531" spans="3:13" s="338" customFormat="1">
      <c r="C4531" s="558"/>
      <c r="D4531" s="559"/>
      <c r="E4531" s="559"/>
      <c r="F4531" s="559"/>
      <c r="G4531" s="558"/>
      <c r="H4531" s="559"/>
      <c r="I4531" s="559"/>
      <c r="J4531" s="559"/>
      <c r="K4531" s="560"/>
      <c r="L4531" s="560"/>
      <c r="M4531" s="560"/>
    </row>
    <row r="4532" spans="3:13" s="338" customFormat="1">
      <c r="C4532" s="558"/>
      <c r="D4532" s="559"/>
      <c r="E4532" s="559"/>
      <c r="F4532" s="559"/>
      <c r="G4532" s="558"/>
      <c r="H4532" s="559"/>
      <c r="I4532" s="559"/>
      <c r="J4532" s="559"/>
      <c r="K4532" s="560"/>
      <c r="L4532" s="560"/>
      <c r="M4532" s="560"/>
    </row>
    <row r="4533" spans="3:13" s="338" customFormat="1">
      <c r="C4533" s="558"/>
      <c r="D4533" s="559"/>
      <c r="E4533" s="559"/>
      <c r="F4533" s="559"/>
      <c r="G4533" s="558"/>
      <c r="H4533" s="559"/>
      <c r="I4533" s="559"/>
      <c r="J4533" s="559"/>
      <c r="K4533" s="560"/>
      <c r="L4533" s="560"/>
      <c r="M4533" s="560"/>
    </row>
    <row r="4534" spans="3:13" s="338" customFormat="1">
      <c r="C4534" s="558"/>
      <c r="D4534" s="559"/>
      <c r="E4534" s="559"/>
      <c r="F4534" s="559"/>
      <c r="G4534" s="558"/>
      <c r="H4534" s="559"/>
      <c r="I4534" s="559"/>
      <c r="J4534" s="559"/>
      <c r="K4534" s="560"/>
      <c r="L4534" s="560"/>
      <c r="M4534" s="560"/>
    </row>
    <row r="4535" spans="3:13" s="338" customFormat="1">
      <c r="C4535" s="558"/>
      <c r="D4535" s="559"/>
      <c r="E4535" s="559"/>
      <c r="F4535" s="559"/>
      <c r="G4535" s="558"/>
      <c r="H4535" s="559"/>
      <c r="I4535" s="559"/>
      <c r="J4535" s="559"/>
      <c r="K4535" s="560"/>
      <c r="L4535" s="560"/>
      <c r="M4535" s="560"/>
    </row>
    <row r="4536" spans="3:13" s="338" customFormat="1">
      <c r="C4536" s="558"/>
      <c r="D4536" s="559"/>
      <c r="E4536" s="559"/>
      <c r="F4536" s="559"/>
      <c r="G4536" s="558"/>
      <c r="H4536" s="559"/>
      <c r="I4536" s="559"/>
      <c r="J4536" s="559"/>
      <c r="K4536" s="560"/>
      <c r="L4536" s="560"/>
      <c r="M4536" s="560"/>
    </row>
    <row r="4537" spans="3:13" s="338" customFormat="1">
      <c r="C4537" s="558"/>
      <c r="D4537" s="559"/>
      <c r="E4537" s="559"/>
      <c r="F4537" s="559"/>
      <c r="G4537" s="558"/>
      <c r="H4537" s="559"/>
      <c r="I4537" s="559"/>
      <c r="J4537" s="559"/>
      <c r="K4537" s="560"/>
      <c r="L4537" s="560"/>
      <c r="M4537" s="560"/>
    </row>
    <row r="4538" spans="3:13" s="338" customFormat="1">
      <c r="C4538" s="558"/>
      <c r="D4538" s="559"/>
      <c r="E4538" s="559"/>
      <c r="F4538" s="559"/>
      <c r="G4538" s="558"/>
      <c r="H4538" s="559"/>
      <c r="I4538" s="559"/>
      <c r="J4538" s="559"/>
      <c r="K4538" s="560"/>
      <c r="L4538" s="560"/>
      <c r="M4538" s="560"/>
    </row>
    <row r="4539" spans="3:13" s="338" customFormat="1">
      <c r="C4539" s="558"/>
      <c r="D4539" s="559"/>
      <c r="E4539" s="559"/>
      <c r="F4539" s="559"/>
      <c r="G4539" s="558"/>
      <c r="H4539" s="559"/>
      <c r="I4539" s="559"/>
      <c r="J4539" s="559"/>
      <c r="K4539" s="560"/>
      <c r="L4539" s="560"/>
      <c r="M4539" s="560"/>
    </row>
    <row r="4540" spans="3:13" s="338" customFormat="1">
      <c r="C4540" s="558"/>
      <c r="D4540" s="559"/>
      <c r="E4540" s="559"/>
      <c r="F4540" s="559"/>
      <c r="G4540" s="558"/>
      <c r="H4540" s="559"/>
      <c r="I4540" s="559"/>
      <c r="J4540" s="559"/>
      <c r="K4540" s="560"/>
      <c r="L4540" s="560"/>
      <c r="M4540" s="560"/>
    </row>
    <row r="4541" spans="3:13" s="338" customFormat="1">
      <c r="C4541" s="558"/>
      <c r="D4541" s="559"/>
      <c r="E4541" s="559"/>
      <c r="F4541" s="559"/>
      <c r="G4541" s="558"/>
      <c r="H4541" s="559"/>
      <c r="I4541" s="559"/>
      <c r="J4541" s="559"/>
      <c r="K4541" s="560"/>
      <c r="L4541" s="560"/>
      <c r="M4541" s="560"/>
    </row>
    <row r="4542" spans="3:13" s="338" customFormat="1">
      <c r="C4542" s="558"/>
      <c r="D4542" s="559"/>
      <c r="E4542" s="559"/>
      <c r="F4542" s="559"/>
      <c r="G4542" s="558"/>
      <c r="H4542" s="559"/>
      <c r="I4542" s="559"/>
      <c r="J4542" s="559"/>
      <c r="K4542" s="560"/>
      <c r="L4542" s="560"/>
      <c r="M4542" s="560"/>
    </row>
    <row r="4543" spans="3:13" s="338" customFormat="1">
      <c r="C4543" s="558"/>
      <c r="D4543" s="559"/>
      <c r="E4543" s="559"/>
      <c r="F4543" s="559"/>
      <c r="G4543" s="558"/>
      <c r="H4543" s="559"/>
      <c r="I4543" s="559"/>
      <c r="J4543" s="559"/>
      <c r="K4543" s="560"/>
      <c r="L4543" s="560"/>
      <c r="M4543" s="560"/>
    </row>
    <row r="4544" spans="3:13" s="338" customFormat="1">
      <c r="C4544" s="558"/>
      <c r="D4544" s="559"/>
      <c r="E4544" s="559"/>
      <c r="F4544" s="559"/>
      <c r="G4544" s="558"/>
      <c r="H4544" s="559"/>
      <c r="I4544" s="559"/>
      <c r="J4544" s="559"/>
      <c r="K4544" s="560"/>
      <c r="L4544" s="560"/>
      <c r="M4544" s="560"/>
    </row>
    <row r="4545" spans="3:13" s="338" customFormat="1">
      <c r="C4545" s="558"/>
      <c r="D4545" s="559"/>
      <c r="E4545" s="559"/>
      <c r="F4545" s="559"/>
      <c r="G4545" s="558"/>
      <c r="H4545" s="559"/>
      <c r="I4545" s="559"/>
      <c r="J4545" s="559"/>
      <c r="K4545" s="560"/>
      <c r="L4545" s="560"/>
      <c r="M4545" s="560"/>
    </row>
    <row r="4546" spans="3:13" s="338" customFormat="1">
      <c r="C4546" s="558"/>
      <c r="D4546" s="559"/>
      <c r="E4546" s="559"/>
      <c r="F4546" s="559"/>
      <c r="G4546" s="558"/>
      <c r="H4546" s="559"/>
      <c r="I4546" s="559"/>
      <c r="J4546" s="559"/>
      <c r="K4546" s="560"/>
      <c r="L4546" s="560"/>
      <c r="M4546" s="560"/>
    </row>
    <row r="4547" spans="3:13" s="338" customFormat="1">
      <c r="C4547" s="558"/>
      <c r="D4547" s="559"/>
      <c r="E4547" s="559"/>
      <c r="F4547" s="559"/>
      <c r="G4547" s="558"/>
      <c r="H4547" s="559"/>
      <c r="I4547" s="559"/>
      <c r="J4547" s="559"/>
      <c r="K4547" s="560"/>
      <c r="L4547" s="560"/>
      <c r="M4547" s="560"/>
    </row>
    <row r="4548" spans="3:13" s="338" customFormat="1">
      <c r="C4548" s="558"/>
      <c r="D4548" s="559"/>
      <c r="E4548" s="559"/>
      <c r="F4548" s="559"/>
      <c r="G4548" s="558"/>
      <c r="H4548" s="559"/>
      <c r="I4548" s="559"/>
      <c r="J4548" s="559"/>
      <c r="K4548" s="560"/>
      <c r="L4548" s="560"/>
      <c r="M4548" s="560"/>
    </row>
    <row r="4549" spans="3:13" s="338" customFormat="1">
      <c r="C4549" s="558"/>
      <c r="D4549" s="559"/>
      <c r="E4549" s="559"/>
      <c r="F4549" s="559"/>
      <c r="G4549" s="558"/>
      <c r="H4549" s="559"/>
      <c r="I4549" s="559"/>
      <c r="J4549" s="559"/>
      <c r="K4549" s="560"/>
      <c r="L4549" s="560"/>
      <c r="M4549" s="560"/>
    </row>
    <row r="4550" spans="3:13" s="338" customFormat="1">
      <c r="C4550" s="558"/>
      <c r="D4550" s="559"/>
      <c r="E4550" s="559"/>
      <c r="F4550" s="559"/>
      <c r="G4550" s="558"/>
      <c r="H4550" s="559"/>
      <c r="I4550" s="559"/>
      <c r="J4550" s="559"/>
      <c r="K4550" s="560"/>
      <c r="L4550" s="560"/>
      <c r="M4550" s="560"/>
    </row>
    <row r="4551" spans="3:13" s="338" customFormat="1">
      <c r="C4551" s="558"/>
      <c r="D4551" s="559"/>
      <c r="E4551" s="559"/>
      <c r="F4551" s="559"/>
      <c r="G4551" s="558"/>
      <c r="H4551" s="559"/>
      <c r="I4551" s="559"/>
      <c r="J4551" s="559"/>
      <c r="K4551" s="560"/>
      <c r="L4551" s="560"/>
      <c r="M4551" s="560"/>
    </row>
    <row r="4552" spans="3:13" s="338" customFormat="1">
      <c r="C4552" s="558"/>
      <c r="D4552" s="559"/>
      <c r="E4552" s="559"/>
      <c r="F4552" s="559"/>
      <c r="G4552" s="558"/>
      <c r="H4552" s="559"/>
      <c r="I4552" s="559"/>
      <c r="J4552" s="559"/>
      <c r="K4552" s="560"/>
      <c r="L4552" s="560"/>
      <c r="M4552" s="560"/>
    </row>
    <row r="4553" spans="3:13" s="338" customFormat="1">
      <c r="C4553" s="558"/>
      <c r="D4553" s="559"/>
      <c r="E4553" s="559"/>
      <c r="F4553" s="559"/>
      <c r="G4553" s="558"/>
      <c r="H4553" s="559"/>
      <c r="I4553" s="559"/>
      <c r="J4553" s="559"/>
      <c r="K4553" s="560"/>
      <c r="L4553" s="560"/>
      <c r="M4553" s="560"/>
    </row>
    <row r="4554" spans="3:13" s="338" customFormat="1">
      <c r="C4554" s="558"/>
      <c r="D4554" s="559"/>
      <c r="E4554" s="559"/>
      <c r="F4554" s="559"/>
      <c r="G4554" s="558"/>
      <c r="H4554" s="559"/>
      <c r="I4554" s="559"/>
      <c r="J4554" s="559"/>
      <c r="K4554" s="560"/>
      <c r="L4554" s="560"/>
      <c r="M4554" s="560"/>
    </row>
    <row r="4555" spans="3:13" s="338" customFormat="1">
      <c r="C4555" s="558"/>
      <c r="D4555" s="559"/>
      <c r="E4555" s="559"/>
      <c r="F4555" s="559"/>
      <c r="G4555" s="558"/>
      <c r="H4555" s="559"/>
      <c r="I4555" s="559"/>
      <c r="J4555" s="559"/>
      <c r="K4555" s="560"/>
      <c r="L4555" s="560"/>
      <c r="M4555" s="560"/>
    </row>
    <row r="4556" spans="3:13" s="338" customFormat="1">
      <c r="C4556" s="558"/>
      <c r="D4556" s="559"/>
      <c r="E4556" s="559"/>
      <c r="F4556" s="559"/>
      <c r="G4556" s="558"/>
      <c r="H4556" s="559"/>
      <c r="I4556" s="559"/>
      <c r="J4556" s="559"/>
      <c r="K4556" s="560"/>
      <c r="L4556" s="560"/>
      <c r="M4556" s="560"/>
    </row>
    <row r="4557" spans="3:13" s="338" customFormat="1">
      <c r="C4557" s="558"/>
      <c r="D4557" s="559"/>
      <c r="E4557" s="559"/>
      <c r="F4557" s="559"/>
      <c r="G4557" s="558"/>
      <c r="H4557" s="559"/>
      <c r="I4557" s="559"/>
      <c r="J4557" s="559"/>
      <c r="K4557" s="560"/>
      <c r="L4557" s="560"/>
      <c r="M4557" s="560"/>
    </row>
    <row r="4558" spans="3:13" s="338" customFormat="1">
      <c r="C4558" s="558"/>
      <c r="D4558" s="559"/>
      <c r="E4558" s="559"/>
      <c r="F4558" s="559"/>
      <c r="G4558" s="558"/>
      <c r="H4558" s="559"/>
      <c r="I4558" s="559"/>
      <c r="J4558" s="559"/>
      <c r="K4558" s="560"/>
      <c r="L4558" s="560"/>
      <c r="M4558" s="560"/>
    </row>
    <row r="4559" spans="3:13" s="338" customFormat="1">
      <c r="C4559" s="558"/>
      <c r="D4559" s="559"/>
      <c r="E4559" s="559"/>
      <c r="F4559" s="559"/>
      <c r="G4559" s="558"/>
      <c r="H4559" s="559"/>
      <c r="I4559" s="559"/>
      <c r="J4559" s="559"/>
      <c r="K4559" s="560"/>
      <c r="L4559" s="560"/>
      <c r="M4559" s="560"/>
    </row>
    <row r="4560" spans="3:13" s="338" customFormat="1">
      <c r="C4560" s="558"/>
      <c r="D4560" s="559"/>
      <c r="E4560" s="559"/>
      <c r="F4560" s="559"/>
      <c r="G4560" s="558"/>
      <c r="H4560" s="559"/>
      <c r="I4560" s="559"/>
      <c r="J4560" s="559"/>
      <c r="K4560" s="560"/>
      <c r="L4560" s="560"/>
      <c r="M4560" s="560"/>
    </row>
    <row r="4561" spans="3:13" s="338" customFormat="1">
      <c r="C4561" s="558"/>
      <c r="D4561" s="559"/>
      <c r="E4561" s="559"/>
      <c r="F4561" s="559"/>
      <c r="G4561" s="558"/>
      <c r="H4561" s="559"/>
      <c r="I4561" s="559"/>
      <c r="J4561" s="559"/>
      <c r="K4561" s="560"/>
      <c r="L4561" s="560"/>
      <c r="M4561" s="560"/>
    </row>
    <row r="4562" spans="3:13" s="338" customFormat="1">
      <c r="C4562" s="558"/>
      <c r="D4562" s="559"/>
      <c r="E4562" s="559"/>
      <c r="F4562" s="559"/>
      <c r="G4562" s="558"/>
      <c r="H4562" s="559"/>
      <c r="I4562" s="559"/>
      <c r="J4562" s="559"/>
      <c r="K4562" s="560"/>
      <c r="L4562" s="560"/>
      <c r="M4562" s="560"/>
    </row>
    <row r="4563" spans="3:13" s="338" customFormat="1">
      <c r="C4563" s="558"/>
      <c r="D4563" s="559"/>
      <c r="E4563" s="559"/>
      <c r="F4563" s="559"/>
      <c r="G4563" s="558"/>
      <c r="H4563" s="559"/>
      <c r="I4563" s="559"/>
      <c r="J4563" s="559"/>
      <c r="K4563" s="560"/>
      <c r="L4563" s="560"/>
      <c r="M4563" s="560"/>
    </row>
    <row r="4564" spans="3:13" s="338" customFormat="1">
      <c r="C4564" s="558"/>
      <c r="D4564" s="559"/>
      <c r="E4564" s="559"/>
      <c r="F4564" s="559"/>
      <c r="G4564" s="558"/>
      <c r="H4564" s="559"/>
      <c r="I4564" s="559"/>
      <c r="J4564" s="559"/>
      <c r="K4564" s="560"/>
      <c r="L4564" s="560"/>
      <c r="M4564" s="560"/>
    </row>
    <row r="4565" spans="3:13" s="338" customFormat="1">
      <c r="C4565" s="558"/>
      <c r="D4565" s="559"/>
      <c r="E4565" s="559"/>
      <c r="F4565" s="559"/>
      <c r="G4565" s="558"/>
      <c r="H4565" s="559"/>
      <c r="I4565" s="559"/>
      <c r="J4565" s="559"/>
      <c r="K4565" s="560"/>
      <c r="L4565" s="560"/>
      <c r="M4565" s="560"/>
    </row>
    <row r="4566" spans="3:13" s="338" customFormat="1">
      <c r="C4566" s="558"/>
      <c r="D4566" s="559"/>
      <c r="E4566" s="559"/>
      <c r="F4566" s="559"/>
      <c r="G4566" s="558"/>
      <c r="H4566" s="559"/>
      <c r="I4566" s="559"/>
      <c r="J4566" s="559"/>
      <c r="K4566" s="560"/>
      <c r="L4566" s="560"/>
      <c r="M4566" s="560"/>
    </row>
    <row r="4567" spans="3:13" s="338" customFormat="1">
      <c r="C4567" s="558"/>
      <c r="D4567" s="559"/>
      <c r="E4567" s="559"/>
      <c r="F4567" s="559"/>
      <c r="G4567" s="558"/>
      <c r="H4567" s="559"/>
      <c r="I4567" s="559"/>
      <c r="J4567" s="559"/>
      <c r="K4567" s="560"/>
      <c r="L4567" s="560"/>
      <c r="M4567" s="560"/>
    </row>
    <row r="4568" spans="3:13" s="338" customFormat="1">
      <c r="C4568" s="558"/>
      <c r="D4568" s="559"/>
      <c r="E4568" s="559"/>
      <c r="F4568" s="559"/>
      <c r="G4568" s="558"/>
      <c r="H4568" s="559"/>
      <c r="I4568" s="559"/>
      <c r="J4568" s="559"/>
      <c r="K4568" s="560"/>
      <c r="L4568" s="560"/>
      <c r="M4568" s="560"/>
    </row>
    <row r="4569" spans="3:13" s="338" customFormat="1">
      <c r="C4569" s="558"/>
      <c r="D4569" s="559"/>
      <c r="E4569" s="559"/>
      <c r="F4569" s="559"/>
      <c r="G4569" s="558"/>
      <c r="H4569" s="559"/>
      <c r="I4569" s="559"/>
      <c r="J4569" s="559"/>
      <c r="K4569" s="560"/>
      <c r="L4569" s="560"/>
      <c r="M4569" s="560"/>
    </row>
    <row r="4570" spans="3:13" s="338" customFormat="1">
      <c r="C4570" s="558"/>
      <c r="D4570" s="559"/>
      <c r="E4570" s="559"/>
      <c r="F4570" s="559"/>
      <c r="G4570" s="558"/>
      <c r="H4570" s="559"/>
      <c r="I4570" s="559"/>
      <c r="J4570" s="559"/>
      <c r="K4570" s="560"/>
      <c r="L4570" s="560"/>
      <c r="M4570" s="560"/>
    </row>
    <row r="4571" spans="3:13" s="338" customFormat="1">
      <c r="C4571" s="558"/>
      <c r="D4571" s="559"/>
      <c r="E4571" s="559"/>
      <c r="F4571" s="559"/>
      <c r="G4571" s="558"/>
      <c r="H4571" s="559"/>
      <c r="I4571" s="559"/>
      <c r="J4571" s="559"/>
      <c r="K4571" s="560"/>
      <c r="L4571" s="560"/>
      <c r="M4571" s="560"/>
    </row>
    <row r="4572" spans="3:13" s="338" customFormat="1">
      <c r="C4572" s="558"/>
      <c r="D4572" s="559"/>
      <c r="E4572" s="559"/>
      <c r="F4572" s="559"/>
      <c r="G4572" s="558"/>
      <c r="H4572" s="559"/>
      <c r="I4572" s="559"/>
      <c r="J4572" s="559"/>
      <c r="K4572" s="560"/>
      <c r="L4572" s="560"/>
      <c r="M4572" s="560"/>
    </row>
    <row r="4573" spans="3:13" s="338" customFormat="1">
      <c r="C4573" s="558"/>
      <c r="D4573" s="559"/>
      <c r="E4573" s="559"/>
      <c r="F4573" s="559"/>
      <c r="G4573" s="558"/>
      <c r="H4573" s="559"/>
      <c r="I4573" s="559"/>
      <c r="J4573" s="559"/>
      <c r="K4573" s="560"/>
      <c r="L4573" s="560"/>
      <c r="M4573" s="560"/>
    </row>
    <row r="4574" spans="3:13" s="338" customFormat="1">
      <c r="C4574" s="558"/>
      <c r="D4574" s="559"/>
      <c r="E4574" s="559"/>
      <c r="F4574" s="559"/>
      <c r="G4574" s="558"/>
      <c r="H4574" s="559"/>
      <c r="I4574" s="559"/>
      <c r="J4574" s="559"/>
      <c r="K4574" s="560"/>
      <c r="L4574" s="560"/>
      <c r="M4574" s="560"/>
    </row>
    <row r="4575" spans="3:13" s="338" customFormat="1">
      <c r="C4575" s="558"/>
      <c r="D4575" s="559"/>
      <c r="E4575" s="559"/>
      <c r="F4575" s="559"/>
      <c r="G4575" s="558"/>
      <c r="H4575" s="559"/>
      <c r="I4575" s="559"/>
      <c r="J4575" s="559"/>
      <c r="K4575" s="560"/>
      <c r="L4575" s="560"/>
      <c r="M4575" s="560"/>
    </row>
    <row r="4576" spans="3:13" s="338" customFormat="1">
      <c r="C4576" s="558"/>
      <c r="D4576" s="559"/>
      <c r="E4576" s="559"/>
      <c r="F4576" s="559"/>
      <c r="G4576" s="558"/>
      <c r="H4576" s="559"/>
      <c r="I4576" s="559"/>
      <c r="J4576" s="559"/>
      <c r="K4576" s="560"/>
      <c r="L4576" s="560"/>
      <c r="M4576" s="560"/>
    </row>
    <row r="4577" spans="3:13" s="338" customFormat="1">
      <c r="C4577" s="558"/>
      <c r="D4577" s="559"/>
      <c r="E4577" s="559"/>
      <c r="F4577" s="559"/>
      <c r="G4577" s="558"/>
      <c r="H4577" s="559"/>
      <c r="I4577" s="559"/>
      <c r="J4577" s="559"/>
      <c r="K4577" s="560"/>
      <c r="L4577" s="560"/>
      <c r="M4577" s="560"/>
    </row>
    <row r="4578" spans="3:13" s="338" customFormat="1">
      <c r="C4578" s="558"/>
      <c r="D4578" s="559"/>
      <c r="E4578" s="559"/>
      <c r="F4578" s="559"/>
      <c r="G4578" s="558"/>
      <c r="H4578" s="559"/>
      <c r="I4578" s="559"/>
      <c r="J4578" s="559"/>
      <c r="K4578" s="560"/>
      <c r="L4578" s="560"/>
      <c r="M4578" s="560"/>
    </row>
    <row r="4579" spans="3:13" s="338" customFormat="1">
      <c r="C4579" s="558"/>
      <c r="D4579" s="559"/>
      <c r="E4579" s="559"/>
      <c r="F4579" s="559"/>
      <c r="G4579" s="558"/>
      <c r="H4579" s="559"/>
      <c r="I4579" s="559"/>
      <c r="J4579" s="559"/>
      <c r="K4579" s="560"/>
      <c r="L4579" s="560"/>
      <c r="M4579" s="560"/>
    </row>
    <row r="4580" spans="3:13" s="338" customFormat="1">
      <c r="C4580" s="558"/>
      <c r="D4580" s="559"/>
      <c r="E4580" s="559"/>
      <c r="F4580" s="559"/>
      <c r="G4580" s="558"/>
      <c r="H4580" s="559"/>
      <c r="I4580" s="559"/>
      <c r="J4580" s="559"/>
      <c r="K4580" s="560"/>
      <c r="L4580" s="560"/>
      <c r="M4580" s="560"/>
    </row>
    <row r="4581" spans="3:13" s="338" customFormat="1">
      <c r="C4581" s="558"/>
      <c r="D4581" s="559"/>
      <c r="E4581" s="559"/>
      <c r="F4581" s="559"/>
      <c r="G4581" s="558"/>
      <c r="H4581" s="559"/>
      <c r="I4581" s="559"/>
      <c r="J4581" s="559"/>
      <c r="K4581" s="560"/>
      <c r="L4581" s="560"/>
      <c r="M4581" s="560"/>
    </row>
    <row r="4582" spans="3:13" s="338" customFormat="1">
      <c r="C4582" s="558"/>
      <c r="D4582" s="559"/>
      <c r="E4582" s="559"/>
      <c r="F4582" s="559"/>
      <c r="G4582" s="558"/>
      <c r="H4582" s="559"/>
      <c r="I4582" s="559"/>
      <c r="J4582" s="559"/>
      <c r="K4582" s="560"/>
      <c r="L4582" s="560"/>
      <c r="M4582" s="560"/>
    </row>
    <row r="4583" spans="3:13" s="338" customFormat="1">
      <c r="C4583" s="558"/>
      <c r="D4583" s="559"/>
      <c r="E4583" s="559"/>
      <c r="F4583" s="559"/>
      <c r="G4583" s="558"/>
      <c r="H4583" s="559"/>
      <c r="I4583" s="559"/>
      <c r="J4583" s="559"/>
      <c r="K4583" s="560"/>
      <c r="L4583" s="560"/>
      <c r="M4583" s="560"/>
    </row>
    <row r="4584" spans="3:13" s="338" customFormat="1">
      <c r="C4584" s="558"/>
      <c r="D4584" s="559"/>
      <c r="E4584" s="559"/>
      <c r="F4584" s="559"/>
      <c r="G4584" s="558"/>
      <c r="H4584" s="559"/>
      <c r="I4584" s="559"/>
      <c r="J4584" s="559"/>
      <c r="K4584" s="560"/>
      <c r="L4584" s="560"/>
      <c r="M4584" s="560"/>
    </row>
    <row r="4585" spans="3:13" s="338" customFormat="1">
      <c r="C4585" s="558"/>
      <c r="D4585" s="559"/>
      <c r="E4585" s="559"/>
      <c r="F4585" s="559"/>
      <c r="G4585" s="558"/>
      <c r="H4585" s="559"/>
      <c r="I4585" s="559"/>
      <c r="J4585" s="559"/>
      <c r="K4585" s="560"/>
      <c r="L4585" s="560"/>
      <c r="M4585" s="560"/>
    </row>
    <row r="4586" spans="3:13" s="338" customFormat="1">
      <c r="C4586" s="558"/>
      <c r="D4586" s="559"/>
      <c r="E4586" s="559"/>
      <c r="F4586" s="559"/>
      <c r="G4586" s="558"/>
      <c r="H4586" s="559"/>
      <c r="I4586" s="559"/>
      <c r="J4586" s="559"/>
      <c r="K4586" s="560"/>
      <c r="L4586" s="560"/>
      <c r="M4586" s="560"/>
    </row>
    <row r="4587" spans="3:13" s="338" customFormat="1">
      <c r="C4587" s="558"/>
      <c r="D4587" s="559"/>
      <c r="E4587" s="559"/>
      <c r="F4587" s="559"/>
      <c r="G4587" s="558"/>
      <c r="H4587" s="559"/>
      <c r="I4587" s="559"/>
      <c r="J4587" s="559"/>
      <c r="K4587" s="560"/>
      <c r="L4587" s="560"/>
      <c r="M4587" s="560"/>
    </row>
    <row r="4588" spans="3:13" s="338" customFormat="1">
      <c r="C4588" s="558"/>
      <c r="D4588" s="559"/>
      <c r="E4588" s="559"/>
      <c r="F4588" s="559"/>
      <c r="G4588" s="558"/>
      <c r="H4588" s="559"/>
      <c r="I4588" s="559"/>
      <c r="J4588" s="559"/>
      <c r="K4588" s="560"/>
      <c r="L4588" s="560"/>
      <c r="M4588" s="560"/>
    </row>
    <row r="4589" spans="3:13" s="338" customFormat="1">
      <c r="C4589" s="558"/>
      <c r="D4589" s="559"/>
      <c r="E4589" s="559"/>
      <c r="F4589" s="559"/>
      <c r="G4589" s="558"/>
      <c r="H4589" s="559"/>
      <c r="I4589" s="559"/>
      <c r="J4589" s="559"/>
      <c r="K4589" s="560"/>
      <c r="L4589" s="560"/>
      <c r="M4589" s="560"/>
    </row>
    <row r="4590" spans="3:13" s="338" customFormat="1">
      <c r="C4590" s="558"/>
      <c r="D4590" s="559"/>
      <c r="E4590" s="559"/>
      <c r="F4590" s="559"/>
      <c r="G4590" s="558"/>
      <c r="H4590" s="559"/>
      <c r="I4590" s="559"/>
      <c r="J4590" s="559"/>
      <c r="K4590" s="560"/>
      <c r="L4590" s="560"/>
      <c r="M4590" s="560"/>
    </row>
    <row r="4591" spans="3:13" s="338" customFormat="1">
      <c r="C4591" s="558"/>
      <c r="D4591" s="559"/>
      <c r="E4591" s="559"/>
      <c r="F4591" s="559"/>
      <c r="G4591" s="558"/>
      <c r="H4591" s="559"/>
      <c r="I4591" s="559"/>
      <c r="J4591" s="559"/>
      <c r="K4591" s="560"/>
      <c r="L4591" s="560"/>
      <c r="M4591" s="560"/>
    </row>
    <row r="4592" spans="3:13" s="338" customFormat="1">
      <c r="C4592" s="558"/>
      <c r="D4592" s="559"/>
      <c r="E4592" s="559"/>
      <c r="F4592" s="559"/>
      <c r="G4592" s="558"/>
      <c r="H4592" s="559"/>
      <c r="I4592" s="559"/>
      <c r="J4592" s="559"/>
      <c r="K4592" s="560"/>
      <c r="L4592" s="560"/>
      <c r="M4592" s="560"/>
    </row>
    <row r="4593" spans="3:13" s="338" customFormat="1">
      <c r="C4593" s="558"/>
      <c r="D4593" s="559"/>
      <c r="E4593" s="559"/>
      <c r="F4593" s="559"/>
      <c r="G4593" s="558"/>
      <c r="H4593" s="559"/>
      <c r="I4593" s="559"/>
      <c r="J4593" s="559"/>
      <c r="K4593" s="560"/>
      <c r="L4593" s="560"/>
      <c r="M4593" s="560"/>
    </row>
    <row r="4594" spans="3:13" s="338" customFormat="1">
      <c r="C4594" s="558"/>
      <c r="D4594" s="559"/>
      <c r="E4594" s="559"/>
      <c r="F4594" s="559"/>
      <c r="G4594" s="558"/>
      <c r="H4594" s="559"/>
      <c r="I4594" s="559"/>
      <c r="J4594" s="559"/>
      <c r="K4594" s="560"/>
      <c r="L4594" s="560"/>
      <c r="M4594" s="560"/>
    </row>
    <row r="4595" spans="3:13" s="338" customFormat="1">
      <c r="C4595" s="558"/>
      <c r="D4595" s="559"/>
      <c r="E4595" s="559"/>
      <c r="F4595" s="559"/>
      <c r="G4595" s="558"/>
      <c r="H4595" s="559"/>
      <c r="I4595" s="559"/>
      <c r="J4595" s="559"/>
      <c r="K4595" s="560"/>
      <c r="L4595" s="560"/>
      <c r="M4595" s="560"/>
    </row>
    <row r="4596" spans="3:13" s="338" customFormat="1">
      <c r="C4596" s="558"/>
      <c r="D4596" s="559"/>
      <c r="E4596" s="559"/>
      <c r="F4596" s="559"/>
      <c r="G4596" s="558"/>
      <c r="H4596" s="559"/>
      <c r="I4596" s="559"/>
      <c r="J4596" s="559"/>
      <c r="K4596" s="560"/>
      <c r="L4596" s="560"/>
      <c r="M4596" s="560"/>
    </row>
    <row r="4597" spans="3:13" s="338" customFormat="1">
      <c r="C4597" s="558"/>
      <c r="D4597" s="559"/>
      <c r="E4597" s="559"/>
      <c r="F4597" s="559"/>
      <c r="G4597" s="558"/>
      <c r="H4597" s="559"/>
      <c r="I4597" s="559"/>
      <c r="J4597" s="559"/>
      <c r="K4597" s="560"/>
      <c r="L4597" s="560"/>
      <c r="M4597" s="560"/>
    </row>
    <row r="4598" spans="3:13" s="338" customFormat="1">
      <c r="C4598" s="558"/>
      <c r="D4598" s="559"/>
      <c r="E4598" s="559"/>
      <c r="F4598" s="559"/>
      <c r="G4598" s="558"/>
      <c r="H4598" s="559"/>
      <c r="I4598" s="559"/>
      <c r="J4598" s="559"/>
      <c r="K4598" s="560"/>
      <c r="L4598" s="560"/>
      <c r="M4598" s="560"/>
    </row>
    <row r="4599" spans="3:13" s="338" customFormat="1">
      <c r="C4599" s="558"/>
      <c r="D4599" s="559"/>
      <c r="E4599" s="559"/>
      <c r="F4599" s="559"/>
      <c r="G4599" s="558"/>
      <c r="H4599" s="559"/>
      <c r="I4599" s="559"/>
      <c r="J4599" s="559"/>
      <c r="K4599" s="560"/>
      <c r="L4599" s="560"/>
      <c r="M4599" s="560"/>
    </row>
    <row r="4600" spans="3:13" s="338" customFormat="1">
      <c r="C4600" s="558"/>
      <c r="D4600" s="559"/>
      <c r="E4600" s="559"/>
      <c r="F4600" s="559"/>
      <c r="G4600" s="558"/>
      <c r="H4600" s="559"/>
      <c r="I4600" s="559"/>
      <c r="J4600" s="559"/>
      <c r="K4600" s="560"/>
      <c r="L4600" s="560"/>
      <c r="M4600" s="560"/>
    </row>
    <row r="4601" spans="3:13" s="338" customFormat="1">
      <c r="C4601" s="558"/>
      <c r="D4601" s="559"/>
      <c r="E4601" s="559"/>
      <c r="F4601" s="559"/>
      <c r="G4601" s="558"/>
      <c r="H4601" s="559"/>
      <c r="I4601" s="559"/>
      <c r="J4601" s="559"/>
      <c r="K4601" s="560"/>
      <c r="L4601" s="560"/>
      <c r="M4601" s="560"/>
    </row>
    <row r="4602" spans="3:13" s="338" customFormat="1">
      <c r="C4602" s="558"/>
      <c r="D4602" s="559"/>
      <c r="E4602" s="559"/>
      <c r="F4602" s="559"/>
      <c r="G4602" s="558"/>
      <c r="H4602" s="559"/>
      <c r="I4602" s="559"/>
      <c r="J4602" s="559"/>
      <c r="K4602" s="560"/>
      <c r="L4602" s="560"/>
      <c r="M4602" s="560"/>
    </row>
    <row r="4603" spans="3:13" s="338" customFormat="1">
      <c r="C4603" s="558"/>
      <c r="D4603" s="559"/>
      <c r="E4603" s="559"/>
      <c r="F4603" s="559"/>
      <c r="G4603" s="558"/>
      <c r="H4603" s="559"/>
      <c r="I4603" s="559"/>
      <c r="J4603" s="559"/>
      <c r="K4603" s="560"/>
      <c r="L4603" s="560"/>
      <c r="M4603" s="560"/>
    </row>
    <row r="4604" spans="3:13" s="338" customFormat="1">
      <c r="C4604" s="558"/>
      <c r="D4604" s="559"/>
      <c r="E4604" s="559"/>
      <c r="F4604" s="559"/>
      <c r="G4604" s="558"/>
      <c r="H4604" s="559"/>
      <c r="I4604" s="559"/>
      <c r="J4604" s="559"/>
      <c r="K4604" s="560"/>
      <c r="L4604" s="560"/>
      <c r="M4604" s="560"/>
    </row>
    <row r="4605" spans="3:13" s="338" customFormat="1">
      <c r="C4605" s="558"/>
      <c r="D4605" s="559"/>
      <c r="E4605" s="559"/>
      <c r="F4605" s="559"/>
      <c r="G4605" s="558"/>
      <c r="H4605" s="559"/>
      <c r="I4605" s="559"/>
      <c r="J4605" s="559"/>
      <c r="K4605" s="560"/>
      <c r="L4605" s="560"/>
      <c r="M4605" s="560"/>
    </row>
    <row r="4606" spans="3:13" s="338" customFormat="1">
      <c r="C4606" s="558"/>
      <c r="D4606" s="559"/>
      <c r="E4606" s="559"/>
      <c r="F4606" s="559"/>
      <c r="G4606" s="558"/>
      <c r="H4606" s="559"/>
      <c r="I4606" s="559"/>
      <c r="J4606" s="559"/>
      <c r="K4606" s="560"/>
      <c r="L4606" s="560"/>
      <c r="M4606" s="560"/>
    </row>
    <row r="4607" spans="3:13" s="338" customFormat="1">
      <c r="C4607" s="558"/>
      <c r="D4607" s="559"/>
      <c r="E4607" s="559"/>
      <c r="F4607" s="559"/>
      <c r="G4607" s="558"/>
      <c r="H4607" s="559"/>
      <c r="I4607" s="559"/>
      <c r="J4607" s="559"/>
      <c r="K4607" s="560"/>
      <c r="L4607" s="560"/>
      <c r="M4607" s="560"/>
    </row>
    <row r="4608" spans="3:13" s="338" customFormat="1">
      <c r="C4608" s="558"/>
      <c r="D4608" s="559"/>
      <c r="E4608" s="559"/>
      <c r="F4608" s="559"/>
      <c r="G4608" s="558"/>
      <c r="H4608" s="559"/>
      <c r="I4608" s="559"/>
      <c r="J4608" s="559"/>
      <c r="K4608" s="560"/>
      <c r="L4608" s="560"/>
      <c r="M4608" s="560"/>
    </row>
    <row r="4609" spans="3:13" s="338" customFormat="1">
      <c r="C4609" s="558"/>
      <c r="D4609" s="559"/>
      <c r="E4609" s="559"/>
      <c r="F4609" s="559"/>
      <c r="G4609" s="558"/>
      <c r="H4609" s="559"/>
      <c r="I4609" s="559"/>
      <c r="J4609" s="559"/>
      <c r="K4609" s="560"/>
      <c r="L4609" s="560"/>
      <c r="M4609" s="560"/>
    </row>
    <row r="4610" spans="3:13" s="338" customFormat="1">
      <c r="C4610" s="558"/>
      <c r="D4610" s="559"/>
      <c r="E4610" s="559"/>
      <c r="F4610" s="559"/>
      <c r="G4610" s="558"/>
      <c r="H4610" s="559"/>
      <c r="I4610" s="559"/>
      <c r="J4610" s="559"/>
      <c r="K4610" s="560"/>
      <c r="L4610" s="560"/>
      <c r="M4610" s="560"/>
    </row>
    <row r="4611" spans="3:13" s="338" customFormat="1">
      <c r="C4611" s="558"/>
      <c r="D4611" s="559"/>
      <c r="E4611" s="559"/>
      <c r="F4611" s="559"/>
      <c r="G4611" s="558"/>
      <c r="H4611" s="559"/>
      <c r="I4611" s="559"/>
      <c r="J4611" s="559"/>
      <c r="K4611" s="560"/>
      <c r="L4611" s="560"/>
      <c r="M4611" s="560"/>
    </row>
    <row r="4612" spans="3:13" s="338" customFormat="1">
      <c r="C4612" s="558"/>
      <c r="D4612" s="559"/>
      <c r="E4612" s="559"/>
      <c r="F4612" s="559"/>
      <c r="G4612" s="558"/>
      <c r="H4612" s="559"/>
      <c r="I4612" s="559"/>
      <c r="J4612" s="559"/>
      <c r="K4612" s="560"/>
      <c r="L4612" s="560"/>
      <c r="M4612" s="560"/>
    </row>
    <row r="4613" spans="3:13" s="338" customFormat="1">
      <c r="C4613" s="558"/>
      <c r="D4613" s="559"/>
      <c r="E4613" s="559"/>
      <c r="F4613" s="559"/>
      <c r="G4613" s="558"/>
      <c r="H4613" s="559"/>
      <c r="I4613" s="559"/>
      <c r="J4613" s="559"/>
      <c r="K4613" s="560"/>
      <c r="L4613" s="560"/>
      <c r="M4613" s="560"/>
    </row>
    <row r="4614" spans="3:13" s="338" customFormat="1">
      <c r="C4614" s="558"/>
      <c r="D4614" s="559"/>
      <c r="E4614" s="559"/>
      <c r="F4614" s="559"/>
      <c r="G4614" s="558"/>
      <c r="H4614" s="559"/>
      <c r="I4614" s="559"/>
      <c r="J4614" s="559"/>
      <c r="K4614" s="560"/>
      <c r="L4614" s="560"/>
      <c r="M4614" s="560"/>
    </row>
    <row r="4615" spans="3:13" s="338" customFormat="1">
      <c r="C4615" s="558"/>
      <c r="D4615" s="559"/>
      <c r="E4615" s="559"/>
      <c r="F4615" s="559"/>
      <c r="G4615" s="558"/>
      <c r="H4615" s="559"/>
      <c r="I4615" s="559"/>
      <c r="J4615" s="559"/>
      <c r="K4615" s="560"/>
      <c r="L4615" s="560"/>
      <c r="M4615" s="560"/>
    </row>
    <row r="4616" spans="3:13" s="338" customFormat="1">
      <c r="C4616" s="558"/>
      <c r="D4616" s="559"/>
      <c r="E4616" s="559"/>
      <c r="F4616" s="559"/>
      <c r="G4616" s="558"/>
      <c r="H4616" s="559"/>
      <c r="I4616" s="559"/>
      <c r="J4616" s="559"/>
      <c r="K4616" s="560"/>
      <c r="L4616" s="560"/>
      <c r="M4616" s="560"/>
    </row>
    <row r="4617" spans="3:13" s="338" customFormat="1">
      <c r="C4617" s="558"/>
      <c r="D4617" s="559"/>
      <c r="E4617" s="559"/>
      <c r="F4617" s="559"/>
      <c r="G4617" s="558"/>
      <c r="H4617" s="559"/>
      <c r="I4617" s="559"/>
      <c r="J4617" s="559"/>
      <c r="K4617" s="560"/>
      <c r="L4617" s="560"/>
      <c r="M4617" s="560"/>
    </row>
    <row r="4618" spans="3:13" s="338" customFormat="1">
      <c r="C4618" s="558"/>
      <c r="D4618" s="559"/>
      <c r="E4618" s="559"/>
      <c r="F4618" s="559"/>
      <c r="G4618" s="558"/>
      <c r="H4618" s="559"/>
      <c r="I4618" s="559"/>
      <c r="J4618" s="559"/>
      <c r="K4618" s="560"/>
      <c r="L4618" s="560"/>
      <c r="M4618" s="560"/>
    </row>
    <row r="4619" spans="3:13" s="338" customFormat="1">
      <c r="C4619" s="558"/>
      <c r="D4619" s="559"/>
      <c r="E4619" s="559"/>
      <c r="F4619" s="559"/>
      <c r="G4619" s="558"/>
      <c r="H4619" s="559"/>
      <c r="I4619" s="559"/>
      <c r="J4619" s="559"/>
      <c r="K4619" s="560"/>
      <c r="L4619" s="560"/>
      <c r="M4619" s="560"/>
    </row>
    <row r="4620" spans="3:13" s="338" customFormat="1">
      <c r="C4620" s="558"/>
      <c r="D4620" s="559"/>
      <c r="E4620" s="559"/>
      <c r="F4620" s="559"/>
      <c r="G4620" s="558"/>
      <c r="H4620" s="559"/>
      <c r="I4620" s="559"/>
      <c r="J4620" s="559"/>
      <c r="K4620" s="560"/>
      <c r="L4620" s="560"/>
      <c r="M4620" s="560"/>
    </row>
    <row r="4621" spans="3:13" s="338" customFormat="1">
      <c r="C4621" s="558"/>
      <c r="D4621" s="559"/>
      <c r="E4621" s="559"/>
      <c r="F4621" s="559"/>
      <c r="G4621" s="558"/>
      <c r="H4621" s="559"/>
      <c r="I4621" s="559"/>
      <c r="J4621" s="559"/>
      <c r="K4621" s="560"/>
      <c r="L4621" s="560"/>
      <c r="M4621" s="560"/>
    </row>
    <row r="4622" spans="3:13" s="338" customFormat="1">
      <c r="C4622" s="558"/>
      <c r="D4622" s="559"/>
      <c r="E4622" s="559"/>
      <c r="F4622" s="559"/>
      <c r="G4622" s="558"/>
      <c r="H4622" s="559"/>
      <c r="I4622" s="559"/>
      <c r="J4622" s="559"/>
      <c r="K4622" s="560"/>
      <c r="L4622" s="560"/>
      <c r="M4622" s="560"/>
    </row>
    <row r="4623" spans="3:13" s="338" customFormat="1">
      <c r="C4623" s="558"/>
      <c r="D4623" s="559"/>
      <c r="E4623" s="559"/>
      <c r="F4623" s="559"/>
      <c r="G4623" s="558"/>
      <c r="H4623" s="559"/>
      <c r="I4623" s="559"/>
      <c r="J4623" s="559"/>
      <c r="K4623" s="560"/>
      <c r="L4623" s="560"/>
      <c r="M4623" s="560"/>
    </row>
    <row r="4624" spans="3:13" s="338" customFormat="1">
      <c r="C4624" s="558"/>
      <c r="D4624" s="559"/>
      <c r="E4624" s="559"/>
      <c r="F4624" s="559"/>
      <c r="G4624" s="558"/>
      <c r="H4624" s="559"/>
      <c r="I4624" s="559"/>
      <c r="J4624" s="559"/>
      <c r="K4624" s="560"/>
      <c r="L4624" s="560"/>
      <c r="M4624" s="560"/>
    </row>
    <row r="4625" spans="3:13" s="338" customFormat="1">
      <c r="C4625" s="558"/>
      <c r="D4625" s="559"/>
      <c r="E4625" s="559"/>
      <c r="F4625" s="559"/>
      <c r="G4625" s="558"/>
      <c r="H4625" s="559"/>
      <c r="I4625" s="559"/>
      <c r="J4625" s="559"/>
      <c r="K4625" s="560"/>
      <c r="L4625" s="560"/>
      <c r="M4625" s="560"/>
    </row>
    <row r="4626" spans="3:13" s="338" customFormat="1">
      <c r="C4626" s="558"/>
      <c r="D4626" s="559"/>
      <c r="E4626" s="559"/>
      <c r="F4626" s="559"/>
      <c r="G4626" s="558"/>
      <c r="H4626" s="559"/>
      <c r="I4626" s="559"/>
      <c r="J4626" s="559"/>
      <c r="K4626" s="560"/>
      <c r="L4626" s="560"/>
      <c r="M4626" s="560"/>
    </row>
    <row r="4627" spans="3:13" s="338" customFormat="1">
      <c r="C4627" s="558"/>
      <c r="D4627" s="559"/>
      <c r="E4627" s="559"/>
      <c r="F4627" s="559"/>
      <c r="G4627" s="558"/>
      <c r="H4627" s="559"/>
      <c r="I4627" s="559"/>
      <c r="J4627" s="559"/>
      <c r="K4627" s="560"/>
      <c r="L4627" s="560"/>
      <c r="M4627" s="560"/>
    </row>
    <row r="4628" spans="3:13" s="338" customFormat="1">
      <c r="C4628" s="558"/>
      <c r="D4628" s="559"/>
      <c r="E4628" s="559"/>
      <c r="F4628" s="559"/>
      <c r="G4628" s="558"/>
      <c r="H4628" s="559"/>
      <c r="I4628" s="559"/>
      <c r="J4628" s="559"/>
      <c r="K4628" s="560"/>
      <c r="L4628" s="560"/>
      <c r="M4628" s="560"/>
    </row>
    <row r="4629" spans="3:13" s="338" customFormat="1">
      <c r="C4629" s="558"/>
      <c r="D4629" s="559"/>
      <c r="E4629" s="559"/>
      <c r="F4629" s="559"/>
      <c r="G4629" s="558"/>
      <c r="H4629" s="559"/>
      <c r="I4629" s="559"/>
      <c r="J4629" s="559"/>
      <c r="K4629" s="560"/>
      <c r="L4629" s="560"/>
      <c r="M4629" s="560"/>
    </row>
    <row r="4630" spans="3:13" s="338" customFormat="1">
      <c r="C4630" s="558"/>
      <c r="D4630" s="559"/>
      <c r="E4630" s="559"/>
      <c r="F4630" s="559"/>
      <c r="G4630" s="558"/>
      <c r="H4630" s="559"/>
      <c r="I4630" s="559"/>
      <c r="J4630" s="559"/>
      <c r="K4630" s="560"/>
      <c r="L4630" s="560"/>
      <c r="M4630" s="560"/>
    </row>
    <row r="4631" spans="3:13" s="338" customFormat="1">
      <c r="C4631" s="558"/>
      <c r="D4631" s="559"/>
      <c r="E4631" s="559"/>
      <c r="F4631" s="559"/>
      <c r="G4631" s="558"/>
      <c r="H4631" s="559"/>
      <c r="I4631" s="559"/>
      <c r="J4631" s="559"/>
      <c r="K4631" s="560"/>
      <c r="L4631" s="560"/>
      <c r="M4631" s="560"/>
    </row>
    <row r="4632" spans="3:13" s="338" customFormat="1">
      <c r="C4632" s="558"/>
      <c r="D4632" s="559"/>
      <c r="E4632" s="559"/>
      <c r="F4632" s="559"/>
      <c r="G4632" s="558"/>
      <c r="H4632" s="559"/>
      <c r="I4632" s="559"/>
      <c r="J4632" s="559"/>
      <c r="K4632" s="560"/>
      <c r="L4632" s="560"/>
      <c r="M4632" s="560"/>
    </row>
    <row r="4633" spans="3:13" s="338" customFormat="1">
      <c r="C4633" s="558"/>
      <c r="D4633" s="559"/>
      <c r="E4633" s="559"/>
      <c r="F4633" s="559"/>
      <c r="G4633" s="558"/>
      <c r="H4633" s="559"/>
      <c r="I4633" s="559"/>
      <c r="J4633" s="559"/>
      <c r="K4633" s="560"/>
      <c r="L4633" s="560"/>
      <c r="M4633" s="560"/>
    </row>
    <row r="4634" spans="3:13" s="338" customFormat="1">
      <c r="C4634" s="558"/>
      <c r="D4634" s="559"/>
      <c r="E4634" s="559"/>
      <c r="F4634" s="559"/>
      <c r="G4634" s="558"/>
      <c r="H4634" s="559"/>
      <c r="I4634" s="559"/>
      <c r="J4634" s="559"/>
      <c r="K4634" s="560"/>
      <c r="L4634" s="560"/>
      <c r="M4634" s="560"/>
    </row>
    <row r="4635" spans="3:13" s="338" customFormat="1">
      <c r="C4635" s="558"/>
      <c r="D4635" s="559"/>
      <c r="E4635" s="559"/>
      <c r="F4635" s="559"/>
      <c r="G4635" s="558"/>
      <c r="H4635" s="559"/>
      <c r="I4635" s="559"/>
      <c r="J4635" s="559"/>
      <c r="K4635" s="560"/>
      <c r="L4635" s="560"/>
      <c r="M4635" s="560"/>
    </row>
    <row r="4636" spans="3:13" s="338" customFormat="1">
      <c r="C4636" s="558"/>
      <c r="D4636" s="559"/>
      <c r="E4636" s="559"/>
      <c r="F4636" s="559"/>
      <c r="G4636" s="558"/>
      <c r="H4636" s="559"/>
      <c r="I4636" s="559"/>
      <c r="J4636" s="559"/>
      <c r="K4636" s="560"/>
      <c r="L4636" s="560"/>
      <c r="M4636" s="560"/>
    </row>
    <row r="4637" spans="3:13" s="338" customFormat="1">
      <c r="C4637" s="558"/>
      <c r="D4637" s="559"/>
      <c r="E4637" s="559"/>
      <c r="F4637" s="559"/>
      <c r="G4637" s="558"/>
      <c r="H4637" s="559"/>
      <c r="I4637" s="559"/>
      <c r="J4637" s="559"/>
      <c r="K4637" s="560"/>
      <c r="L4637" s="560"/>
      <c r="M4637" s="560"/>
    </row>
    <row r="4638" spans="3:13" s="338" customFormat="1">
      <c r="C4638" s="558"/>
      <c r="D4638" s="559"/>
      <c r="E4638" s="559"/>
      <c r="F4638" s="559"/>
      <c r="G4638" s="558"/>
      <c r="H4638" s="559"/>
      <c r="I4638" s="559"/>
      <c r="J4638" s="559"/>
      <c r="K4638" s="560"/>
      <c r="L4638" s="560"/>
      <c r="M4638" s="560"/>
    </row>
    <row r="4639" spans="3:13" s="338" customFormat="1">
      <c r="C4639" s="558"/>
      <c r="D4639" s="559"/>
      <c r="E4639" s="559"/>
      <c r="F4639" s="559"/>
      <c r="G4639" s="558"/>
      <c r="H4639" s="559"/>
      <c r="I4639" s="559"/>
      <c r="J4639" s="559"/>
      <c r="K4639" s="560"/>
      <c r="L4639" s="560"/>
      <c r="M4639" s="560"/>
    </row>
    <row r="4640" spans="3:13" s="338" customFormat="1">
      <c r="C4640" s="558"/>
      <c r="D4640" s="559"/>
      <c r="E4640" s="559"/>
      <c r="F4640" s="559"/>
      <c r="G4640" s="558"/>
      <c r="H4640" s="559"/>
      <c r="I4640" s="559"/>
      <c r="J4640" s="559"/>
      <c r="K4640" s="560"/>
      <c r="L4640" s="560"/>
      <c r="M4640" s="560"/>
    </row>
    <row r="4641" spans="3:13" s="338" customFormat="1">
      <c r="C4641" s="558"/>
      <c r="D4641" s="559"/>
      <c r="E4641" s="559"/>
      <c r="F4641" s="559"/>
      <c r="G4641" s="558"/>
      <c r="H4641" s="559"/>
      <c r="I4641" s="559"/>
      <c r="J4641" s="559"/>
      <c r="K4641" s="560"/>
      <c r="L4641" s="560"/>
      <c r="M4641" s="560"/>
    </row>
    <row r="4642" spans="3:13" s="338" customFormat="1">
      <c r="C4642" s="558"/>
      <c r="D4642" s="559"/>
      <c r="E4642" s="559"/>
      <c r="F4642" s="559"/>
      <c r="G4642" s="558"/>
      <c r="H4642" s="559"/>
      <c r="I4642" s="559"/>
      <c r="J4642" s="559"/>
      <c r="K4642" s="560"/>
      <c r="L4642" s="560"/>
      <c r="M4642" s="560"/>
    </row>
    <row r="4643" spans="3:13" s="338" customFormat="1">
      <c r="C4643" s="558"/>
      <c r="D4643" s="559"/>
      <c r="E4643" s="559"/>
      <c r="F4643" s="559"/>
      <c r="G4643" s="558"/>
      <c r="H4643" s="559"/>
      <c r="I4643" s="559"/>
      <c r="J4643" s="559"/>
      <c r="K4643" s="560"/>
      <c r="L4643" s="560"/>
      <c r="M4643" s="560"/>
    </row>
    <row r="4644" spans="3:13" s="338" customFormat="1">
      <c r="C4644" s="558"/>
      <c r="D4644" s="559"/>
      <c r="E4644" s="559"/>
      <c r="F4644" s="559"/>
      <c r="G4644" s="558"/>
      <c r="H4644" s="559"/>
      <c r="I4644" s="559"/>
      <c r="J4644" s="559"/>
      <c r="K4644" s="560"/>
      <c r="L4644" s="560"/>
      <c r="M4644" s="560"/>
    </row>
    <row r="4645" spans="3:13" s="338" customFormat="1">
      <c r="C4645" s="558"/>
      <c r="D4645" s="559"/>
      <c r="E4645" s="559"/>
      <c r="F4645" s="559"/>
      <c r="G4645" s="558"/>
      <c r="H4645" s="559"/>
      <c r="I4645" s="559"/>
      <c r="J4645" s="559"/>
      <c r="K4645" s="560"/>
      <c r="L4645" s="560"/>
      <c r="M4645" s="560"/>
    </row>
    <row r="4646" spans="3:13" s="338" customFormat="1">
      <c r="C4646" s="558"/>
      <c r="D4646" s="559"/>
      <c r="E4646" s="559"/>
      <c r="F4646" s="559"/>
      <c r="G4646" s="558"/>
      <c r="H4646" s="559"/>
      <c r="I4646" s="559"/>
      <c r="J4646" s="559"/>
      <c r="K4646" s="560"/>
      <c r="L4646" s="560"/>
      <c r="M4646" s="560"/>
    </row>
    <row r="4647" spans="3:13" s="338" customFormat="1">
      <c r="C4647" s="558"/>
      <c r="D4647" s="559"/>
      <c r="E4647" s="559"/>
      <c r="F4647" s="559"/>
      <c r="G4647" s="558"/>
      <c r="H4647" s="559"/>
      <c r="I4647" s="559"/>
      <c r="J4647" s="559"/>
      <c r="K4647" s="560"/>
      <c r="L4647" s="560"/>
      <c r="M4647" s="560"/>
    </row>
    <row r="4648" spans="3:13" s="338" customFormat="1">
      <c r="C4648" s="558"/>
      <c r="D4648" s="559"/>
      <c r="E4648" s="559"/>
      <c r="F4648" s="559"/>
      <c r="G4648" s="558"/>
      <c r="H4648" s="559"/>
      <c r="I4648" s="559"/>
      <c r="J4648" s="559"/>
      <c r="K4648" s="560"/>
      <c r="L4648" s="560"/>
      <c r="M4648" s="560"/>
    </row>
    <row r="4649" spans="3:13" s="338" customFormat="1">
      <c r="C4649" s="558"/>
      <c r="D4649" s="559"/>
      <c r="E4649" s="559"/>
      <c r="F4649" s="559"/>
      <c r="G4649" s="558"/>
      <c r="H4649" s="559"/>
      <c r="I4649" s="559"/>
      <c r="J4649" s="559"/>
      <c r="K4649" s="560"/>
      <c r="L4649" s="560"/>
      <c r="M4649" s="560"/>
    </row>
    <row r="4650" spans="3:13" s="338" customFormat="1">
      <c r="C4650" s="558"/>
      <c r="D4650" s="559"/>
      <c r="E4650" s="559"/>
      <c r="F4650" s="559"/>
      <c r="G4650" s="558"/>
      <c r="H4650" s="559"/>
      <c r="I4650" s="559"/>
      <c r="J4650" s="559"/>
      <c r="K4650" s="560"/>
      <c r="L4650" s="560"/>
      <c r="M4650" s="560"/>
    </row>
    <row r="4651" spans="3:13" s="338" customFormat="1">
      <c r="C4651" s="558"/>
      <c r="D4651" s="559"/>
      <c r="E4651" s="559"/>
      <c r="F4651" s="559"/>
      <c r="G4651" s="558"/>
      <c r="H4651" s="559"/>
      <c r="I4651" s="559"/>
      <c r="J4651" s="559"/>
      <c r="K4651" s="560"/>
      <c r="L4651" s="560"/>
      <c r="M4651" s="560"/>
    </row>
    <row r="4652" spans="3:13" s="338" customFormat="1">
      <c r="C4652" s="558"/>
      <c r="D4652" s="559"/>
      <c r="E4652" s="559"/>
      <c r="F4652" s="559"/>
      <c r="G4652" s="558"/>
      <c r="H4652" s="559"/>
      <c r="I4652" s="559"/>
      <c r="J4652" s="559"/>
      <c r="K4652" s="560"/>
      <c r="L4652" s="560"/>
      <c r="M4652" s="560"/>
    </row>
    <row r="4653" spans="3:13" s="338" customFormat="1">
      <c r="C4653" s="558"/>
      <c r="D4653" s="559"/>
      <c r="E4653" s="559"/>
      <c r="F4653" s="559"/>
      <c r="G4653" s="558"/>
      <c r="H4653" s="559"/>
      <c r="I4653" s="559"/>
      <c r="J4653" s="559"/>
      <c r="K4653" s="560"/>
      <c r="L4653" s="560"/>
      <c r="M4653" s="560"/>
    </row>
    <row r="4654" spans="3:13" s="338" customFormat="1">
      <c r="C4654" s="558"/>
      <c r="D4654" s="559"/>
      <c r="E4654" s="559"/>
      <c r="F4654" s="559"/>
      <c r="G4654" s="558"/>
      <c r="H4654" s="559"/>
      <c r="I4654" s="559"/>
      <c r="J4654" s="559"/>
      <c r="K4654" s="560"/>
      <c r="L4654" s="560"/>
      <c r="M4654" s="560"/>
    </row>
    <row r="4655" spans="3:13" s="338" customFormat="1">
      <c r="C4655" s="558"/>
      <c r="D4655" s="559"/>
      <c r="E4655" s="559"/>
      <c r="F4655" s="559"/>
      <c r="G4655" s="558"/>
      <c r="H4655" s="559"/>
      <c r="I4655" s="559"/>
      <c r="J4655" s="559"/>
      <c r="K4655" s="560"/>
      <c r="L4655" s="560"/>
      <c r="M4655" s="560"/>
    </row>
    <row r="4656" spans="3:13" s="338" customFormat="1">
      <c r="C4656" s="558"/>
      <c r="D4656" s="559"/>
      <c r="E4656" s="559"/>
      <c r="F4656" s="559"/>
      <c r="G4656" s="558"/>
      <c r="H4656" s="559"/>
      <c r="I4656" s="559"/>
      <c r="J4656" s="559"/>
      <c r="K4656" s="560"/>
      <c r="L4656" s="560"/>
      <c r="M4656" s="560"/>
    </row>
    <row r="4657" spans="3:13" s="338" customFormat="1">
      <c r="C4657" s="558"/>
      <c r="D4657" s="559"/>
      <c r="E4657" s="559"/>
      <c r="F4657" s="559"/>
      <c r="G4657" s="558"/>
      <c r="H4657" s="559"/>
      <c r="I4657" s="559"/>
      <c r="J4657" s="559"/>
      <c r="K4657" s="560"/>
      <c r="L4657" s="560"/>
      <c r="M4657" s="560"/>
    </row>
    <row r="4658" spans="3:13" s="338" customFormat="1">
      <c r="C4658" s="558"/>
      <c r="D4658" s="559"/>
      <c r="E4658" s="559"/>
      <c r="F4658" s="559"/>
      <c r="G4658" s="558"/>
      <c r="H4658" s="559"/>
      <c r="I4658" s="559"/>
      <c r="J4658" s="559"/>
      <c r="K4658" s="560"/>
      <c r="L4658" s="560"/>
      <c r="M4658" s="560"/>
    </row>
    <row r="4659" spans="3:13" s="338" customFormat="1">
      <c r="C4659" s="558"/>
      <c r="D4659" s="559"/>
      <c r="E4659" s="559"/>
      <c r="F4659" s="559"/>
      <c r="G4659" s="558"/>
      <c r="H4659" s="559"/>
      <c r="I4659" s="559"/>
      <c r="J4659" s="559"/>
      <c r="K4659" s="560"/>
      <c r="L4659" s="560"/>
      <c r="M4659" s="560"/>
    </row>
    <row r="4660" spans="3:13" s="338" customFormat="1">
      <c r="C4660" s="558"/>
      <c r="D4660" s="559"/>
      <c r="E4660" s="559"/>
      <c r="F4660" s="559"/>
      <c r="G4660" s="558"/>
      <c r="H4660" s="559"/>
      <c r="I4660" s="559"/>
      <c r="J4660" s="559"/>
      <c r="K4660" s="560"/>
      <c r="L4660" s="560"/>
      <c r="M4660" s="560"/>
    </row>
    <row r="4661" spans="3:13" s="338" customFormat="1">
      <c r="C4661" s="558"/>
      <c r="D4661" s="559"/>
      <c r="E4661" s="559"/>
      <c r="F4661" s="559"/>
      <c r="G4661" s="558"/>
      <c r="H4661" s="559"/>
      <c r="I4661" s="559"/>
      <c r="J4661" s="559"/>
      <c r="K4661" s="560"/>
      <c r="L4661" s="560"/>
      <c r="M4661" s="560"/>
    </row>
    <row r="4662" spans="3:13" s="338" customFormat="1">
      <c r="C4662" s="558"/>
      <c r="D4662" s="559"/>
      <c r="E4662" s="559"/>
      <c r="F4662" s="559"/>
      <c r="G4662" s="558"/>
      <c r="H4662" s="559"/>
      <c r="I4662" s="559"/>
      <c r="J4662" s="559"/>
      <c r="K4662" s="560"/>
      <c r="L4662" s="560"/>
      <c r="M4662" s="560"/>
    </row>
    <row r="4663" spans="3:13" s="338" customFormat="1">
      <c r="C4663" s="558"/>
      <c r="D4663" s="559"/>
      <c r="E4663" s="559"/>
      <c r="F4663" s="559"/>
      <c r="G4663" s="558"/>
      <c r="H4663" s="559"/>
      <c r="I4663" s="559"/>
      <c r="J4663" s="559"/>
      <c r="K4663" s="560"/>
      <c r="L4663" s="560"/>
      <c r="M4663" s="560"/>
    </row>
    <row r="4664" spans="3:13" s="338" customFormat="1">
      <c r="C4664" s="558"/>
      <c r="D4664" s="559"/>
      <c r="E4664" s="559"/>
      <c r="F4664" s="559"/>
      <c r="G4664" s="558"/>
      <c r="H4664" s="559"/>
      <c r="I4664" s="559"/>
      <c r="J4664" s="559"/>
      <c r="K4664" s="560"/>
      <c r="L4664" s="560"/>
      <c r="M4664" s="560"/>
    </row>
    <row r="4665" spans="3:13" s="338" customFormat="1">
      <c r="C4665" s="558"/>
      <c r="D4665" s="559"/>
      <c r="E4665" s="559"/>
      <c r="F4665" s="559"/>
      <c r="G4665" s="558"/>
      <c r="H4665" s="559"/>
      <c r="I4665" s="559"/>
      <c r="J4665" s="559"/>
      <c r="K4665" s="560"/>
      <c r="L4665" s="560"/>
      <c r="M4665" s="560"/>
    </row>
    <row r="4666" spans="3:13" s="338" customFormat="1">
      <c r="C4666" s="558"/>
      <c r="D4666" s="559"/>
      <c r="E4666" s="559"/>
      <c r="F4666" s="559"/>
      <c r="G4666" s="558"/>
      <c r="H4666" s="559"/>
      <c r="I4666" s="559"/>
      <c r="J4666" s="559"/>
      <c r="K4666" s="560"/>
      <c r="L4666" s="560"/>
      <c r="M4666" s="560"/>
    </row>
    <row r="4667" spans="3:13" s="338" customFormat="1">
      <c r="C4667" s="558"/>
      <c r="D4667" s="559"/>
      <c r="E4667" s="559"/>
      <c r="F4667" s="559"/>
      <c r="G4667" s="558"/>
      <c r="H4667" s="559"/>
      <c r="I4667" s="559"/>
      <c r="J4667" s="559"/>
      <c r="K4667" s="560"/>
      <c r="L4667" s="560"/>
      <c r="M4667" s="560"/>
    </row>
    <row r="4668" spans="3:13" s="338" customFormat="1">
      <c r="C4668" s="558"/>
      <c r="D4668" s="559"/>
      <c r="E4668" s="559"/>
      <c r="F4668" s="559"/>
      <c r="G4668" s="558"/>
      <c r="H4668" s="559"/>
      <c r="I4668" s="559"/>
      <c r="J4668" s="559"/>
      <c r="K4668" s="560"/>
      <c r="L4668" s="560"/>
      <c r="M4668" s="560"/>
    </row>
    <row r="4669" spans="3:13" s="338" customFormat="1">
      <c r="C4669" s="558"/>
      <c r="D4669" s="559"/>
      <c r="E4669" s="559"/>
      <c r="F4669" s="559"/>
      <c r="G4669" s="558"/>
      <c r="H4669" s="559"/>
      <c r="I4669" s="559"/>
      <c r="J4669" s="559"/>
      <c r="K4669" s="560"/>
      <c r="L4669" s="560"/>
      <c r="M4669" s="560"/>
    </row>
    <row r="4670" spans="3:13" s="338" customFormat="1">
      <c r="C4670" s="558"/>
      <c r="D4670" s="559"/>
      <c r="E4670" s="559"/>
      <c r="F4670" s="559"/>
      <c r="G4670" s="558"/>
      <c r="H4670" s="559"/>
      <c r="I4670" s="559"/>
      <c r="J4670" s="559"/>
      <c r="K4670" s="560"/>
      <c r="L4670" s="560"/>
      <c r="M4670" s="560"/>
    </row>
    <row r="4671" spans="3:13" s="338" customFormat="1">
      <c r="C4671" s="558"/>
      <c r="D4671" s="559"/>
      <c r="E4671" s="559"/>
      <c r="F4671" s="559"/>
      <c r="G4671" s="558"/>
      <c r="H4671" s="559"/>
      <c r="I4671" s="559"/>
      <c r="J4671" s="559"/>
      <c r="K4671" s="560"/>
      <c r="L4671" s="560"/>
      <c r="M4671" s="560"/>
    </row>
    <row r="4672" spans="3:13" s="338" customFormat="1">
      <c r="C4672" s="558"/>
      <c r="D4672" s="559"/>
      <c r="E4672" s="559"/>
      <c r="F4672" s="559"/>
      <c r="G4672" s="558"/>
      <c r="H4672" s="559"/>
      <c r="I4672" s="559"/>
      <c r="J4672" s="559"/>
      <c r="K4672" s="560"/>
      <c r="L4672" s="560"/>
      <c r="M4672" s="560"/>
    </row>
    <row r="4673" spans="3:13" s="338" customFormat="1">
      <c r="C4673" s="558"/>
      <c r="D4673" s="559"/>
      <c r="E4673" s="559"/>
      <c r="F4673" s="559"/>
      <c r="G4673" s="558"/>
      <c r="H4673" s="559"/>
      <c r="I4673" s="559"/>
      <c r="J4673" s="559"/>
      <c r="K4673" s="560"/>
      <c r="L4673" s="560"/>
      <c r="M4673" s="560"/>
    </row>
    <row r="4674" spans="3:13" s="338" customFormat="1">
      <c r="C4674" s="558"/>
      <c r="D4674" s="559"/>
      <c r="E4674" s="559"/>
      <c r="F4674" s="559"/>
      <c r="G4674" s="558"/>
      <c r="H4674" s="559"/>
      <c r="I4674" s="559"/>
      <c r="J4674" s="559"/>
      <c r="K4674" s="560"/>
      <c r="L4674" s="560"/>
      <c r="M4674" s="560"/>
    </row>
    <row r="4675" spans="3:13" s="338" customFormat="1">
      <c r="C4675" s="558"/>
      <c r="D4675" s="559"/>
      <c r="E4675" s="559"/>
      <c r="F4675" s="559"/>
      <c r="G4675" s="558"/>
      <c r="H4675" s="559"/>
      <c r="I4675" s="559"/>
      <c r="J4675" s="559"/>
      <c r="K4675" s="560"/>
      <c r="L4675" s="560"/>
      <c r="M4675" s="560"/>
    </row>
    <row r="4676" spans="3:13" s="338" customFormat="1">
      <c r="C4676" s="558"/>
      <c r="D4676" s="559"/>
      <c r="E4676" s="559"/>
      <c r="F4676" s="559"/>
      <c r="G4676" s="558"/>
      <c r="H4676" s="559"/>
      <c r="I4676" s="559"/>
      <c r="J4676" s="559"/>
      <c r="K4676" s="560"/>
      <c r="L4676" s="560"/>
      <c r="M4676" s="560"/>
    </row>
    <row r="4677" spans="3:13" s="338" customFormat="1">
      <c r="C4677" s="558"/>
      <c r="D4677" s="559"/>
      <c r="E4677" s="559"/>
      <c r="F4677" s="559"/>
      <c r="G4677" s="558"/>
      <c r="H4677" s="559"/>
      <c r="I4677" s="559"/>
      <c r="J4677" s="559"/>
      <c r="K4677" s="560"/>
      <c r="L4677" s="560"/>
      <c r="M4677" s="560"/>
    </row>
    <row r="4678" spans="3:13" s="338" customFormat="1">
      <c r="C4678" s="558"/>
      <c r="D4678" s="559"/>
      <c r="E4678" s="559"/>
      <c r="F4678" s="559"/>
      <c r="G4678" s="558"/>
      <c r="H4678" s="559"/>
      <c r="I4678" s="559"/>
      <c r="J4678" s="559"/>
      <c r="K4678" s="560"/>
      <c r="L4678" s="560"/>
      <c r="M4678" s="560"/>
    </row>
    <row r="4679" spans="3:13" s="338" customFormat="1">
      <c r="C4679" s="558"/>
      <c r="D4679" s="559"/>
      <c r="E4679" s="559"/>
      <c r="F4679" s="559"/>
      <c r="G4679" s="558"/>
      <c r="H4679" s="559"/>
      <c r="I4679" s="559"/>
      <c r="J4679" s="559"/>
      <c r="K4679" s="560"/>
      <c r="L4679" s="560"/>
      <c r="M4679" s="560"/>
    </row>
    <row r="4680" spans="3:13" s="338" customFormat="1">
      <c r="C4680" s="558"/>
      <c r="D4680" s="559"/>
      <c r="E4680" s="559"/>
      <c r="F4680" s="559"/>
      <c r="G4680" s="558"/>
      <c r="H4680" s="559"/>
      <c r="I4680" s="559"/>
      <c r="J4680" s="559"/>
      <c r="K4680" s="560"/>
      <c r="L4680" s="560"/>
      <c r="M4680" s="560"/>
    </row>
    <row r="4681" spans="3:13" s="338" customFormat="1">
      <c r="C4681" s="558"/>
      <c r="D4681" s="559"/>
      <c r="E4681" s="559"/>
      <c r="F4681" s="559"/>
      <c r="G4681" s="558"/>
      <c r="H4681" s="559"/>
      <c r="I4681" s="559"/>
      <c r="J4681" s="559"/>
      <c r="K4681" s="560"/>
      <c r="L4681" s="560"/>
      <c r="M4681" s="560"/>
    </row>
    <row r="4682" spans="3:13" s="338" customFormat="1">
      <c r="C4682" s="558"/>
      <c r="D4682" s="559"/>
      <c r="E4682" s="559"/>
      <c r="F4682" s="559"/>
      <c r="G4682" s="558"/>
      <c r="H4682" s="559"/>
      <c r="I4682" s="559"/>
      <c r="J4682" s="559"/>
      <c r="K4682" s="560"/>
      <c r="L4682" s="560"/>
      <c r="M4682" s="560"/>
    </row>
    <row r="4683" spans="3:13" s="338" customFormat="1">
      <c r="C4683" s="558"/>
      <c r="D4683" s="559"/>
      <c r="E4683" s="559"/>
      <c r="F4683" s="559"/>
      <c r="G4683" s="558"/>
      <c r="H4683" s="559"/>
      <c r="I4683" s="559"/>
      <c r="J4683" s="559"/>
      <c r="K4683" s="560"/>
      <c r="L4683" s="560"/>
      <c r="M4683" s="560"/>
    </row>
    <row r="4684" spans="3:13" s="338" customFormat="1">
      <c r="C4684" s="558"/>
      <c r="D4684" s="559"/>
      <c r="E4684" s="559"/>
      <c r="F4684" s="559"/>
      <c r="G4684" s="558"/>
      <c r="H4684" s="559"/>
      <c r="I4684" s="559"/>
      <c r="J4684" s="559"/>
      <c r="K4684" s="560"/>
      <c r="L4684" s="560"/>
      <c r="M4684" s="560"/>
    </row>
    <row r="4685" spans="3:13" s="338" customFormat="1">
      <c r="C4685" s="558"/>
      <c r="D4685" s="559"/>
      <c r="E4685" s="559"/>
      <c r="F4685" s="559"/>
      <c r="G4685" s="558"/>
      <c r="H4685" s="559"/>
      <c r="I4685" s="559"/>
      <c r="J4685" s="559"/>
      <c r="K4685" s="560"/>
      <c r="L4685" s="560"/>
      <c r="M4685" s="560"/>
    </row>
    <row r="4686" spans="3:13" s="338" customFormat="1">
      <c r="C4686" s="558"/>
      <c r="D4686" s="559"/>
      <c r="E4686" s="559"/>
      <c r="F4686" s="559"/>
      <c r="G4686" s="558"/>
      <c r="H4686" s="559"/>
      <c r="I4686" s="559"/>
      <c r="J4686" s="559"/>
      <c r="K4686" s="560"/>
      <c r="L4686" s="560"/>
      <c r="M4686" s="560"/>
    </row>
    <row r="4687" spans="3:13" s="338" customFormat="1">
      <c r="C4687" s="558"/>
      <c r="D4687" s="559"/>
      <c r="E4687" s="559"/>
      <c r="F4687" s="559"/>
      <c r="G4687" s="558"/>
      <c r="H4687" s="559"/>
      <c r="I4687" s="559"/>
      <c r="J4687" s="559"/>
      <c r="K4687" s="560"/>
      <c r="L4687" s="560"/>
      <c r="M4687" s="560"/>
    </row>
    <row r="4688" spans="3:13" s="338" customFormat="1">
      <c r="C4688" s="558"/>
      <c r="D4688" s="559"/>
      <c r="E4688" s="559"/>
      <c r="F4688" s="559"/>
      <c r="G4688" s="558"/>
      <c r="H4688" s="559"/>
      <c r="I4688" s="559"/>
      <c r="J4688" s="559"/>
      <c r="K4688" s="560"/>
      <c r="L4688" s="560"/>
      <c r="M4688" s="560"/>
    </row>
    <row r="4689" spans="3:13" s="338" customFormat="1">
      <c r="C4689" s="558"/>
      <c r="D4689" s="559"/>
      <c r="E4689" s="559"/>
      <c r="F4689" s="559"/>
      <c r="G4689" s="558"/>
      <c r="H4689" s="559"/>
      <c r="I4689" s="559"/>
      <c r="J4689" s="559"/>
      <c r="K4689" s="560"/>
      <c r="L4689" s="560"/>
      <c r="M4689" s="560"/>
    </row>
    <row r="4690" spans="3:13" s="338" customFormat="1">
      <c r="C4690" s="558"/>
      <c r="D4690" s="559"/>
      <c r="E4690" s="559"/>
      <c r="F4690" s="559"/>
      <c r="G4690" s="558"/>
      <c r="H4690" s="559"/>
      <c r="I4690" s="559"/>
      <c r="J4690" s="559"/>
      <c r="K4690" s="560"/>
      <c r="L4690" s="560"/>
      <c r="M4690" s="560"/>
    </row>
    <row r="4691" spans="3:13" s="338" customFormat="1">
      <c r="C4691" s="558"/>
      <c r="D4691" s="559"/>
      <c r="E4691" s="559"/>
      <c r="F4691" s="559"/>
      <c r="G4691" s="558"/>
      <c r="H4691" s="559"/>
      <c r="I4691" s="559"/>
      <c r="J4691" s="559"/>
      <c r="K4691" s="560"/>
      <c r="L4691" s="560"/>
      <c r="M4691" s="560"/>
    </row>
    <row r="4692" spans="3:13" s="338" customFormat="1">
      <c r="C4692" s="558"/>
      <c r="D4692" s="559"/>
      <c r="E4692" s="559"/>
      <c r="F4692" s="559"/>
      <c r="G4692" s="558"/>
      <c r="H4692" s="559"/>
      <c r="I4692" s="559"/>
      <c r="J4692" s="559"/>
      <c r="K4692" s="560"/>
      <c r="L4692" s="560"/>
      <c r="M4692" s="560"/>
    </row>
    <row r="4693" spans="3:13" s="338" customFormat="1">
      <c r="C4693" s="558"/>
      <c r="D4693" s="559"/>
      <c r="E4693" s="559"/>
      <c r="F4693" s="559"/>
      <c r="G4693" s="558"/>
      <c r="H4693" s="559"/>
      <c r="I4693" s="559"/>
      <c r="J4693" s="559"/>
      <c r="K4693" s="560"/>
      <c r="L4693" s="560"/>
      <c r="M4693" s="560"/>
    </row>
    <row r="4694" spans="3:13" s="338" customFormat="1">
      <c r="C4694" s="558"/>
      <c r="D4694" s="559"/>
      <c r="E4694" s="559"/>
      <c r="F4694" s="559"/>
      <c r="G4694" s="558"/>
      <c r="H4694" s="559"/>
      <c r="I4694" s="559"/>
      <c r="J4694" s="559"/>
      <c r="K4694" s="560"/>
      <c r="L4694" s="560"/>
      <c r="M4694" s="560"/>
    </row>
    <row r="4695" spans="3:13" s="338" customFormat="1">
      <c r="C4695" s="558"/>
      <c r="D4695" s="559"/>
      <c r="E4695" s="559"/>
      <c r="F4695" s="559"/>
      <c r="G4695" s="558"/>
      <c r="H4695" s="559"/>
      <c r="I4695" s="559"/>
      <c r="J4695" s="559"/>
      <c r="K4695" s="560"/>
      <c r="L4695" s="560"/>
      <c r="M4695" s="560"/>
    </row>
    <row r="4696" spans="3:13" s="338" customFormat="1">
      <c r="C4696" s="558"/>
      <c r="D4696" s="559"/>
      <c r="E4696" s="559"/>
      <c r="F4696" s="559"/>
      <c r="G4696" s="558"/>
      <c r="H4696" s="559"/>
      <c r="I4696" s="559"/>
      <c r="J4696" s="559"/>
      <c r="K4696" s="560"/>
      <c r="L4696" s="560"/>
      <c r="M4696" s="560"/>
    </row>
    <row r="4697" spans="3:13" s="338" customFormat="1">
      <c r="C4697" s="558"/>
      <c r="D4697" s="559"/>
      <c r="E4697" s="559"/>
      <c r="F4697" s="559"/>
      <c r="G4697" s="558"/>
      <c r="H4697" s="559"/>
      <c r="I4697" s="559"/>
      <c r="J4697" s="559"/>
      <c r="K4697" s="560"/>
      <c r="L4697" s="560"/>
      <c r="M4697" s="560"/>
    </row>
    <row r="4698" spans="3:13" s="338" customFormat="1">
      <c r="C4698" s="558"/>
      <c r="D4698" s="559"/>
      <c r="E4698" s="559"/>
      <c r="F4698" s="559"/>
      <c r="G4698" s="558"/>
      <c r="H4698" s="559"/>
      <c r="I4698" s="559"/>
      <c r="J4698" s="559"/>
      <c r="K4698" s="560"/>
      <c r="L4698" s="560"/>
      <c r="M4698" s="560"/>
    </row>
    <row r="4699" spans="3:13" s="338" customFormat="1">
      <c r="C4699" s="558"/>
      <c r="D4699" s="559"/>
      <c r="E4699" s="559"/>
      <c r="F4699" s="559"/>
      <c r="G4699" s="558"/>
      <c r="H4699" s="559"/>
      <c r="I4699" s="559"/>
      <c r="J4699" s="559"/>
      <c r="K4699" s="560"/>
      <c r="L4699" s="560"/>
      <c r="M4699" s="560"/>
    </row>
    <row r="4700" spans="3:13" s="338" customFormat="1">
      <c r="C4700" s="558"/>
      <c r="D4700" s="559"/>
      <c r="E4700" s="559"/>
      <c r="F4700" s="559"/>
      <c r="G4700" s="558"/>
      <c r="H4700" s="559"/>
      <c r="I4700" s="559"/>
      <c r="J4700" s="559"/>
      <c r="K4700" s="560"/>
      <c r="L4700" s="560"/>
      <c r="M4700" s="560"/>
    </row>
    <row r="4701" spans="3:13" s="338" customFormat="1">
      <c r="C4701" s="558"/>
      <c r="D4701" s="559"/>
      <c r="E4701" s="559"/>
      <c r="F4701" s="559"/>
      <c r="G4701" s="558"/>
      <c r="H4701" s="559"/>
      <c r="I4701" s="559"/>
      <c r="J4701" s="559"/>
      <c r="K4701" s="560"/>
      <c r="L4701" s="560"/>
      <c r="M4701" s="560"/>
    </row>
    <row r="4702" spans="3:13" s="338" customFormat="1">
      <c r="C4702" s="558"/>
      <c r="D4702" s="559"/>
      <c r="E4702" s="559"/>
      <c r="F4702" s="559"/>
      <c r="G4702" s="558"/>
      <c r="H4702" s="559"/>
      <c r="I4702" s="559"/>
      <c r="J4702" s="559"/>
      <c r="K4702" s="560"/>
      <c r="L4702" s="560"/>
      <c r="M4702" s="560"/>
    </row>
    <row r="4703" spans="3:13" s="338" customFormat="1">
      <c r="C4703" s="558"/>
      <c r="D4703" s="559"/>
      <c r="E4703" s="559"/>
      <c r="F4703" s="559"/>
      <c r="G4703" s="558"/>
      <c r="H4703" s="559"/>
      <c r="I4703" s="559"/>
      <c r="J4703" s="559"/>
      <c r="K4703" s="560"/>
      <c r="L4703" s="560"/>
      <c r="M4703" s="560"/>
    </row>
    <row r="4704" spans="3:13" s="338" customFormat="1">
      <c r="C4704" s="558"/>
      <c r="D4704" s="559"/>
      <c r="E4704" s="559"/>
      <c r="F4704" s="559"/>
      <c r="G4704" s="558"/>
      <c r="H4704" s="559"/>
      <c r="I4704" s="559"/>
      <c r="J4704" s="559"/>
      <c r="K4704" s="560"/>
      <c r="L4704" s="560"/>
      <c r="M4704" s="560"/>
    </row>
    <row r="4705" spans="3:13" s="338" customFormat="1">
      <c r="C4705" s="558"/>
      <c r="D4705" s="559"/>
      <c r="E4705" s="559"/>
      <c r="F4705" s="559"/>
      <c r="G4705" s="558"/>
      <c r="H4705" s="559"/>
      <c r="I4705" s="559"/>
      <c r="J4705" s="559"/>
      <c r="K4705" s="560"/>
      <c r="L4705" s="560"/>
      <c r="M4705" s="560"/>
    </row>
    <row r="4706" spans="3:13" s="338" customFormat="1">
      <c r="C4706" s="558"/>
      <c r="D4706" s="559"/>
      <c r="E4706" s="559"/>
      <c r="F4706" s="559"/>
      <c r="G4706" s="558"/>
      <c r="H4706" s="559"/>
      <c r="I4706" s="559"/>
      <c r="J4706" s="559"/>
      <c r="K4706" s="560"/>
      <c r="L4706" s="560"/>
      <c r="M4706" s="560"/>
    </row>
    <row r="4707" spans="3:13" s="338" customFormat="1">
      <c r="C4707" s="558"/>
      <c r="D4707" s="559"/>
      <c r="E4707" s="559"/>
      <c r="F4707" s="559"/>
      <c r="G4707" s="558"/>
      <c r="H4707" s="559"/>
      <c r="I4707" s="559"/>
      <c r="J4707" s="559"/>
      <c r="K4707" s="560"/>
      <c r="L4707" s="560"/>
      <c r="M4707" s="560"/>
    </row>
    <row r="4708" spans="3:13" s="338" customFormat="1">
      <c r="C4708" s="558"/>
      <c r="D4708" s="559"/>
      <c r="E4708" s="559"/>
      <c r="F4708" s="559"/>
      <c r="G4708" s="558"/>
      <c r="H4708" s="559"/>
      <c r="I4708" s="559"/>
      <c r="J4708" s="559"/>
      <c r="K4708" s="560"/>
      <c r="L4708" s="560"/>
      <c r="M4708" s="560"/>
    </row>
    <row r="4709" spans="3:13" s="338" customFormat="1">
      <c r="C4709" s="558"/>
      <c r="D4709" s="559"/>
      <c r="E4709" s="559"/>
      <c r="F4709" s="559"/>
      <c r="G4709" s="558"/>
      <c r="H4709" s="559"/>
      <c r="I4709" s="559"/>
      <c r="J4709" s="559"/>
      <c r="K4709" s="560"/>
      <c r="L4709" s="560"/>
      <c r="M4709" s="560"/>
    </row>
    <row r="4710" spans="3:13" s="338" customFormat="1">
      <c r="C4710" s="558"/>
      <c r="D4710" s="559"/>
      <c r="E4710" s="559"/>
      <c r="F4710" s="559"/>
      <c r="G4710" s="558"/>
      <c r="H4710" s="559"/>
      <c r="I4710" s="559"/>
      <c r="J4710" s="559"/>
      <c r="K4710" s="560"/>
      <c r="L4710" s="560"/>
      <c r="M4710" s="560"/>
    </row>
    <row r="4711" spans="3:13" s="338" customFormat="1">
      <c r="C4711" s="558"/>
      <c r="D4711" s="559"/>
      <c r="E4711" s="559"/>
      <c r="F4711" s="559"/>
      <c r="G4711" s="558"/>
      <c r="H4711" s="559"/>
      <c r="I4711" s="559"/>
      <c r="J4711" s="559"/>
      <c r="K4711" s="560"/>
      <c r="L4711" s="560"/>
      <c r="M4711" s="560"/>
    </row>
    <row r="4712" spans="3:13" s="338" customFormat="1">
      <c r="C4712" s="558"/>
      <c r="D4712" s="559"/>
      <c r="E4712" s="559"/>
      <c r="F4712" s="559"/>
      <c r="G4712" s="558"/>
      <c r="H4712" s="559"/>
      <c r="I4712" s="559"/>
      <c r="J4712" s="559"/>
      <c r="K4712" s="560"/>
      <c r="L4712" s="560"/>
      <c r="M4712" s="560"/>
    </row>
    <row r="4713" spans="3:13" s="338" customFormat="1">
      <c r="C4713" s="558"/>
      <c r="D4713" s="559"/>
      <c r="E4713" s="559"/>
      <c r="F4713" s="559"/>
      <c r="G4713" s="558"/>
      <c r="H4713" s="559"/>
      <c r="I4713" s="559"/>
      <c r="J4713" s="559"/>
      <c r="K4713" s="560"/>
      <c r="L4713" s="560"/>
      <c r="M4713" s="560"/>
    </row>
    <row r="4714" spans="3:13" s="338" customFormat="1">
      <c r="C4714" s="558"/>
      <c r="D4714" s="559"/>
      <c r="E4714" s="559"/>
      <c r="F4714" s="559"/>
      <c r="G4714" s="558"/>
      <c r="H4714" s="559"/>
      <c r="I4714" s="559"/>
      <c r="J4714" s="559"/>
      <c r="K4714" s="560"/>
      <c r="L4714" s="560"/>
      <c r="M4714" s="560"/>
    </row>
    <row r="4715" spans="3:13" s="338" customFormat="1">
      <c r="C4715" s="558"/>
      <c r="D4715" s="559"/>
      <c r="E4715" s="559"/>
      <c r="F4715" s="559"/>
      <c r="G4715" s="558"/>
      <c r="H4715" s="559"/>
      <c r="I4715" s="559"/>
      <c r="J4715" s="559"/>
      <c r="K4715" s="560"/>
      <c r="L4715" s="560"/>
      <c r="M4715" s="560"/>
    </row>
    <row r="4716" spans="3:13" s="338" customFormat="1">
      <c r="C4716" s="558"/>
      <c r="D4716" s="559"/>
      <c r="E4716" s="559"/>
      <c r="F4716" s="559"/>
      <c r="G4716" s="558"/>
      <c r="H4716" s="559"/>
      <c r="I4716" s="559"/>
      <c r="J4716" s="559"/>
      <c r="K4716" s="560"/>
      <c r="L4716" s="560"/>
      <c r="M4716" s="560"/>
    </row>
    <row r="4717" spans="3:13" s="338" customFormat="1">
      <c r="C4717" s="558"/>
      <c r="D4717" s="559"/>
      <c r="E4717" s="559"/>
      <c r="F4717" s="559"/>
      <c r="G4717" s="558"/>
      <c r="H4717" s="559"/>
      <c r="I4717" s="559"/>
      <c r="J4717" s="559"/>
      <c r="K4717" s="560"/>
      <c r="L4717" s="560"/>
      <c r="M4717" s="560"/>
    </row>
    <row r="4718" spans="3:13" s="338" customFormat="1">
      <c r="C4718" s="558"/>
      <c r="D4718" s="559"/>
      <c r="E4718" s="559"/>
      <c r="F4718" s="559"/>
      <c r="G4718" s="558"/>
      <c r="H4718" s="559"/>
      <c r="I4718" s="559"/>
      <c r="J4718" s="559"/>
      <c r="K4718" s="560"/>
      <c r="L4718" s="560"/>
      <c r="M4718" s="560"/>
    </row>
    <row r="4719" spans="3:13" s="338" customFormat="1">
      <c r="C4719" s="558"/>
      <c r="D4719" s="559"/>
      <c r="E4719" s="559"/>
      <c r="F4719" s="559"/>
      <c r="G4719" s="558"/>
      <c r="H4719" s="559"/>
      <c r="I4719" s="559"/>
      <c r="J4719" s="559"/>
      <c r="K4719" s="560"/>
      <c r="L4719" s="560"/>
      <c r="M4719" s="560"/>
    </row>
    <row r="4720" spans="3:13" s="338" customFormat="1">
      <c r="C4720" s="558"/>
      <c r="D4720" s="559"/>
      <c r="E4720" s="559"/>
      <c r="F4720" s="559"/>
      <c r="G4720" s="558"/>
      <c r="H4720" s="559"/>
      <c r="I4720" s="559"/>
      <c r="J4720" s="559"/>
      <c r="K4720" s="560"/>
      <c r="L4720" s="560"/>
      <c r="M4720" s="560"/>
    </row>
    <row r="4721" spans="3:13" s="338" customFormat="1">
      <c r="C4721" s="558"/>
      <c r="D4721" s="559"/>
      <c r="E4721" s="559"/>
      <c r="F4721" s="559"/>
      <c r="G4721" s="558"/>
      <c r="H4721" s="559"/>
      <c r="I4721" s="559"/>
      <c r="J4721" s="559"/>
      <c r="K4721" s="560"/>
      <c r="L4721" s="560"/>
      <c r="M4721" s="560"/>
    </row>
    <row r="4722" spans="3:13" s="338" customFormat="1">
      <c r="C4722" s="558"/>
      <c r="D4722" s="559"/>
      <c r="E4722" s="559"/>
      <c r="F4722" s="559"/>
      <c r="G4722" s="558"/>
      <c r="H4722" s="559"/>
      <c r="I4722" s="559"/>
      <c r="J4722" s="559"/>
      <c r="K4722" s="560"/>
      <c r="L4722" s="560"/>
      <c r="M4722" s="560"/>
    </row>
    <row r="4723" spans="3:13" s="338" customFormat="1">
      <c r="C4723" s="558"/>
      <c r="D4723" s="559"/>
      <c r="E4723" s="559"/>
      <c r="F4723" s="559"/>
      <c r="G4723" s="558"/>
      <c r="H4723" s="559"/>
      <c r="I4723" s="559"/>
      <c r="J4723" s="559"/>
      <c r="K4723" s="560"/>
      <c r="L4723" s="560"/>
      <c r="M4723" s="560"/>
    </row>
    <row r="4724" spans="3:13" s="338" customFormat="1">
      <c r="C4724" s="558"/>
      <c r="D4724" s="559"/>
      <c r="E4724" s="559"/>
      <c r="F4724" s="559"/>
      <c r="G4724" s="558"/>
      <c r="H4724" s="559"/>
      <c r="I4724" s="559"/>
      <c r="J4724" s="559"/>
      <c r="K4724" s="560"/>
      <c r="L4724" s="560"/>
      <c r="M4724" s="560"/>
    </row>
    <row r="4725" spans="3:13" s="338" customFormat="1">
      <c r="C4725" s="558"/>
      <c r="D4725" s="559"/>
      <c r="E4725" s="559"/>
      <c r="F4725" s="559"/>
      <c r="G4725" s="558"/>
      <c r="H4725" s="559"/>
      <c r="I4725" s="559"/>
      <c r="J4725" s="559"/>
      <c r="K4725" s="560"/>
      <c r="L4725" s="560"/>
      <c r="M4725" s="560"/>
    </row>
    <row r="4726" spans="3:13" s="338" customFormat="1">
      <c r="C4726" s="558"/>
      <c r="D4726" s="559"/>
      <c r="E4726" s="559"/>
      <c r="F4726" s="559"/>
      <c r="G4726" s="558"/>
      <c r="H4726" s="559"/>
      <c r="I4726" s="559"/>
      <c r="J4726" s="559"/>
      <c r="K4726" s="560"/>
      <c r="L4726" s="560"/>
      <c r="M4726" s="560"/>
    </row>
    <row r="4727" spans="3:13" s="338" customFormat="1">
      <c r="C4727" s="558"/>
      <c r="D4727" s="559"/>
      <c r="E4727" s="559"/>
      <c r="F4727" s="559"/>
      <c r="G4727" s="558"/>
      <c r="H4727" s="559"/>
      <c r="I4727" s="559"/>
      <c r="J4727" s="559"/>
      <c r="K4727" s="560"/>
      <c r="L4727" s="560"/>
      <c r="M4727" s="560"/>
    </row>
    <row r="4728" spans="3:13" s="338" customFormat="1">
      <c r="C4728" s="558"/>
      <c r="D4728" s="559"/>
      <c r="E4728" s="559"/>
      <c r="F4728" s="559"/>
      <c r="G4728" s="558"/>
      <c r="H4728" s="559"/>
      <c r="I4728" s="559"/>
      <c r="J4728" s="559"/>
      <c r="K4728" s="560"/>
      <c r="L4728" s="560"/>
      <c r="M4728" s="560"/>
    </row>
    <row r="4729" spans="3:13" s="338" customFormat="1">
      <c r="C4729" s="558"/>
      <c r="D4729" s="559"/>
      <c r="E4729" s="559"/>
      <c r="F4729" s="559"/>
      <c r="G4729" s="558"/>
      <c r="H4729" s="559"/>
      <c r="I4729" s="559"/>
      <c r="J4729" s="559"/>
      <c r="K4729" s="560"/>
      <c r="L4729" s="560"/>
      <c r="M4729" s="560"/>
    </row>
    <row r="4730" spans="3:13" s="338" customFormat="1">
      <c r="C4730" s="558"/>
      <c r="D4730" s="559"/>
      <c r="E4730" s="559"/>
      <c r="F4730" s="559"/>
      <c r="G4730" s="558"/>
      <c r="H4730" s="559"/>
      <c r="I4730" s="559"/>
      <c r="J4730" s="559"/>
      <c r="K4730" s="560"/>
      <c r="L4730" s="560"/>
      <c r="M4730" s="560"/>
    </row>
    <row r="4731" spans="3:13" s="338" customFormat="1">
      <c r="C4731" s="558"/>
      <c r="D4731" s="559"/>
      <c r="E4731" s="559"/>
      <c r="F4731" s="559"/>
      <c r="G4731" s="558"/>
      <c r="H4731" s="559"/>
      <c r="I4731" s="559"/>
      <c r="J4731" s="559"/>
      <c r="K4731" s="560"/>
      <c r="L4731" s="560"/>
      <c r="M4731" s="560"/>
    </row>
    <row r="4732" spans="3:13" s="338" customFormat="1">
      <c r="C4732" s="558"/>
      <c r="D4732" s="559"/>
      <c r="E4732" s="559"/>
      <c r="F4732" s="559"/>
      <c r="G4732" s="558"/>
      <c r="H4732" s="559"/>
      <c r="I4732" s="559"/>
      <c r="J4732" s="559"/>
      <c r="K4732" s="560"/>
      <c r="L4732" s="560"/>
      <c r="M4732" s="560"/>
    </row>
    <row r="4733" spans="3:13" s="338" customFormat="1">
      <c r="C4733" s="558"/>
      <c r="D4733" s="559"/>
      <c r="E4733" s="559"/>
      <c r="F4733" s="559"/>
      <c r="G4733" s="558"/>
      <c r="H4733" s="559"/>
      <c r="I4733" s="559"/>
      <c r="J4733" s="559"/>
      <c r="K4733" s="560"/>
      <c r="L4733" s="560"/>
      <c r="M4733" s="560"/>
    </row>
    <row r="4734" spans="3:13" s="338" customFormat="1">
      <c r="C4734" s="558"/>
      <c r="D4734" s="559"/>
      <c r="E4734" s="559"/>
      <c r="F4734" s="559"/>
      <c r="G4734" s="558"/>
      <c r="H4734" s="559"/>
      <c r="I4734" s="559"/>
      <c r="J4734" s="559"/>
      <c r="K4734" s="560"/>
      <c r="L4734" s="560"/>
      <c r="M4734" s="560"/>
    </row>
    <row r="4735" spans="3:13" s="338" customFormat="1">
      <c r="C4735" s="558"/>
      <c r="D4735" s="559"/>
      <c r="E4735" s="559"/>
      <c r="F4735" s="559"/>
      <c r="G4735" s="558"/>
      <c r="H4735" s="559"/>
      <c r="I4735" s="559"/>
      <c r="J4735" s="559"/>
      <c r="K4735" s="560"/>
      <c r="L4735" s="560"/>
      <c r="M4735" s="560"/>
    </row>
    <row r="4736" spans="3:13" s="338" customFormat="1">
      <c r="C4736" s="558"/>
      <c r="D4736" s="559"/>
      <c r="E4736" s="559"/>
      <c r="F4736" s="559"/>
      <c r="G4736" s="558"/>
      <c r="H4736" s="559"/>
      <c r="I4736" s="559"/>
      <c r="J4736" s="559"/>
      <c r="K4736" s="560"/>
      <c r="L4736" s="560"/>
      <c r="M4736" s="560"/>
    </row>
    <row r="4737" spans="3:13" s="338" customFormat="1">
      <c r="C4737" s="558"/>
      <c r="D4737" s="559"/>
      <c r="E4737" s="559"/>
      <c r="F4737" s="559"/>
      <c r="G4737" s="558"/>
      <c r="H4737" s="559"/>
      <c r="I4737" s="559"/>
      <c r="J4737" s="559"/>
      <c r="K4737" s="560"/>
      <c r="L4737" s="560"/>
      <c r="M4737" s="560"/>
    </row>
    <row r="4738" spans="3:13" s="338" customFormat="1">
      <c r="C4738" s="558"/>
      <c r="D4738" s="559"/>
      <c r="E4738" s="559"/>
      <c r="F4738" s="559"/>
      <c r="G4738" s="558"/>
      <c r="H4738" s="559"/>
      <c r="I4738" s="559"/>
      <c r="J4738" s="559"/>
      <c r="K4738" s="560"/>
      <c r="L4738" s="560"/>
      <c r="M4738" s="560"/>
    </row>
    <row r="4739" spans="3:13" s="338" customFormat="1">
      <c r="C4739" s="558"/>
      <c r="D4739" s="559"/>
      <c r="E4739" s="559"/>
      <c r="F4739" s="559"/>
      <c r="G4739" s="558"/>
      <c r="H4739" s="559"/>
      <c r="I4739" s="559"/>
      <c r="J4739" s="559"/>
      <c r="K4739" s="560"/>
      <c r="L4739" s="560"/>
      <c r="M4739" s="560"/>
    </row>
    <row r="4740" spans="3:13" s="338" customFormat="1">
      <c r="C4740" s="558"/>
      <c r="D4740" s="559"/>
      <c r="E4740" s="559"/>
      <c r="F4740" s="559"/>
      <c r="G4740" s="558"/>
      <c r="H4740" s="559"/>
      <c r="I4740" s="559"/>
      <c r="J4740" s="559"/>
      <c r="K4740" s="560"/>
      <c r="L4740" s="560"/>
      <c r="M4740" s="560"/>
    </row>
    <row r="4741" spans="3:13" s="338" customFormat="1">
      <c r="C4741" s="558"/>
      <c r="D4741" s="559"/>
      <c r="E4741" s="559"/>
      <c r="F4741" s="559"/>
      <c r="G4741" s="558"/>
      <c r="H4741" s="559"/>
      <c r="I4741" s="559"/>
      <c r="J4741" s="559"/>
      <c r="K4741" s="560"/>
      <c r="L4741" s="560"/>
      <c r="M4741" s="560"/>
    </row>
    <row r="4742" spans="3:13" s="338" customFormat="1">
      <c r="C4742" s="558"/>
      <c r="D4742" s="559"/>
      <c r="E4742" s="559"/>
      <c r="F4742" s="559"/>
      <c r="G4742" s="558"/>
      <c r="H4742" s="559"/>
      <c r="I4742" s="559"/>
      <c r="J4742" s="559"/>
      <c r="K4742" s="560"/>
      <c r="L4742" s="560"/>
      <c r="M4742" s="560"/>
    </row>
    <row r="4743" spans="3:13" s="338" customFormat="1">
      <c r="C4743" s="558"/>
      <c r="D4743" s="559"/>
      <c r="E4743" s="559"/>
      <c r="F4743" s="559"/>
      <c r="G4743" s="558"/>
      <c r="H4743" s="559"/>
      <c r="I4743" s="559"/>
      <c r="J4743" s="559"/>
      <c r="K4743" s="560"/>
      <c r="L4743" s="560"/>
      <c r="M4743" s="560"/>
    </row>
    <row r="4744" spans="3:13" s="338" customFormat="1">
      <c r="C4744" s="558"/>
      <c r="D4744" s="559"/>
      <c r="E4744" s="559"/>
      <c r="F4744" s="559"/>
      <c r="G4744" s="558"/>
      <c r="H4744" s="559"/>
      <c r="I4744" s="559"/>
      <c r="J4744" s="559"/>
      <c r="K4744" s="560"/>
      <c r="L4744" s="560"/>
      <c r="M4744" s="560"/>
    </row>
    <row r="4745" spans="3:13" s="338" customFormat="1">
      <c r="C4745" s="558"/>
      <c r="D4745" s="559"/>
      <c r="E4745" s="559"/>
      <c r="F4745" s="559"/>
      <c r="G4745" s="558"/>
      <c r="H4745" s="559"/>
      <c r="I4745" s="559"/>
      <c r="J4745" s="559"/>
      <c r="K4745" s="560"/>
      <c r="L4745" s="560"/>
      <c r="M4745" s="560"/>
    </row>
    <row r="4746" spans="3:13" s="338" customFormat="1">
      <c r="C4746" s="558"/>
      <c r="D4746" s="559"/>
      <c r="E4746" s="559"/>
      <c r="F4746" s="559"/>
      <c r="G4746" s="558"/>
      <c r="H4746" s="559"/>
      <c r="I4746" s="559"/>
      <c r="J4746" s="559"/>
      <c r="K4746" s="560"/>
      <c r="L4746" s="560"/>
      <c r="M4746" s="560"/>
    </row>
    <row r="4747" spans="3:13" s="338" customFormat="1">
      <c r="C4747" s="558"/>
      <c r="D4747" s="559"/>
      <c r="E4747" s="559"/>
      <c r="F4747" s="559"/>
      <c r="G4747" s="558"/>
      <c r="H4747" s="559"/>
      <c r="I4747" s="559"/>
      <c r="J4747" s="559"/>
      <c r="K4747" s="560"/>
      <c r="L4747" s="560"/>
      <c r="M4747" s="560"/>
    </row>
    <row r="4748" spans="3:13" s="338" customFormat="1">
      <c r="C4748" s="558"/>
      <c r="D4748" s="559"/>
      <c r="E4748" s="559"/>
      <c r="F4748" s="559"/>
      <c r="G4748" s="558"/>
      <c r="H4748" s="559"/>
      <c r="I4748" s="559"/>
      <c r="J4748" s="559"/>
      <c r="K4748" s="560"/>
      <c r="L4748" s="560"/>
      <c r="M4748" s="560"/>
    </row>
    <row r="4749" spans="3:13" s="338" customFormat="1">
      <c r="C4749" s="558"/>
      <c r="D4749" s="559"/>
      <c r="E4749" s="559"/>
      <c r="F4749" s="559"/>
      <c r="G4749" s="558"/>
      <c r="H4749" s="559"/>
      <c r="I4749" s="559"/>
      <c r="J4749" s="559"/>
      <c r="K4749" s="560"/>
      <c r="L4749" s="560"/>
      <c r="M4749" s="560"/>
    </row>
    <row r="4750" spans="3:13" s="338" customFormat="1">
      <c r="C4750" s="558"/>
      <c r="D4750" s="559"/>
      <c r="E4750" s="559"/>
      <c r="F4750" s="559"/>
      <c r="G4750" s="558"/>
      <c r="H4750" s="559"/>
      <c r="I4750" s="559"/>
      <c r="J4750" s="559"/>
      <c r="K4750" s="560"/>
      <c r="L4750" s="560"/>
      <c r="M4750" s="560"/>
    </row>
    <row r="4751" spans="3:13" s="338" customFormat="1">
      <c r="C4751" s="558"/>
      <c r="D4751" s="559"/>
      <c r="E4751" s="559"/>
      <c r="F4751" s="559"/>
      <c r="G4751" s="558"/>
      <c r="H4751" s="559"/>
      <c r="I4751" s="559"/>
      <c r="J4751" s="559"/>
      <c r="K4751" s="560"/>
      <c r="L4751" s="560"/>
      <c r="M4751" s="560"/>
    </row>
    <row r="4752" spans="3:13" s="338" customFormat="1">
      <c r="C4752" s="558"/>
      <c r="D4752" s="559"/>
      <c r="E4752" s="559"/>
      <c r="F4752" s="559"/>
      <c r="G4752" s="558"/>
      <c r="H4752" s="559"/>
      <c r="I4752" s="559"/>
      <c r="J4752" s="559"/>
      <c r="K4752" s="560"/>
      <c r="L4752" s="560"/>
      <c r="M4752" s="560"/>
    </row>
    <row r="4753" spans="3:13" s="338" customFormat="1">
      <c r="C4753" s="558"/>
      <c r="D4753" s="559"/>
      <c r="E4753" s="559"/>
      <c r="F4753" s="559"/>
      <c r="G4753" s="558"/>
      <c r="H4753" s="559"/>
      <c r="I4753" s="559"/>
      <c r="J4753" s="559"/>
      <c r="K4753" s="560"/>
      <c r="L4753" s="560"/>
      <c r="M4753" s="560"/>
    </row>
    <row r="4754" spans="3:13" s="338" customFormat="1">
      <c r="C4754" s="558"/>
      <c r="D4754" s="559"/>
      <c r="E4754" s="559"/>
      <c r="F4754" s="559"/>
      <c r="G4754" s="558"/>
      <c r="H4754" s="559"/>
      <c r="I4754" s="559"/>
      <c r="J4754" s="559"/>
      <c r="K4754" s="560"/>
      <c r="L4754" s="560"/>
      <c r="M4754" s="560"/>
    </row>
    <row r="4755" spans="3:13" s="338" customFormat="1">
      <c r="C4755" s="558"/>
      <c r="D4755" s="559"/>
      <c r="E4755" s="559"/>
      <c r="F4755" s="559"/>
      <c r="G4755" s="558"/>
      <c r="H4755" s="559"/>
      <c r="I4755" s="559"/>
      <c r="J4755" s="559"/>
      <c r="K4755" s="560"/>
      <c r="L4755" s="560"/>
      <c r="M4755" s="560"/>
    </row>
    <row r="4756" spans="3:13" s="338" customFormat="1">
      <c r="C4756" s="558"/>
      <c r="D4756" s="559"/>
      <c r="E4756" s="559"/>
      <c r="F4756" s="559"/>
      <c r="G4756" s="558"/>
      <c r="H4756" s="559"/>
      <c r="I4756" s="559"/>
      <c r="J4756" s="559"/>
      <c r="K4756" s="560"/>
      <c r="L4756" s="560"/>
      <c r="M4756" s="560"/>
    </row>
    <row r="4757" spans="3:13" s="338" customFormat="1">
      <c r="C4757" s="558"/>
      <c r="D4757" s="559"/>
      <c r="E4757" s="559"/>
      <c r="F4757" s="559"/>
      <c r="G4757" s="558"/>
      <c r="H4757" s="559"/>
      <c r="I4757" s="559"/>
      <c r="J4757" s="559"/>
      <c r="K4757" s="560"/>
      <c r="L4757" s="560"/>
      <c r="M4757" s="560"/>
    </row>
    <row r="4758" spans="3:13" s="338" customFormat="1">
      <c r="C4758" s="558"/>
      <c r="D4758" s="559"/>
      <c r="E4758" s="559"/>
      <c r="F4758" s="559"/>
      <c r="G4758" s="558"/>
      <c r="H4758" s="559"/>
      <c r="I4758" s="559"/>
      <c r="J4758" s="559"/>
      <c r="K4758" s="560"/>
      <c r="L4758" s="560"/>
      <c r="M4758" s="560"/>
    </row>
    <row r="4759" spans="3:13" s="338" customFormat="1">
      <c r="C4759" s="558"/>
      <c r="D4759" s="559"/>
      <c r="E4759" s="559"/>
      <c r="F4759" s="559"/>
      <c r="G4759" s="558"/>
      <c r="H4759" s="559"/>
      <c r="I4759" s="559"/>
      <c r="J4759" s="559"/>
      <c r="K4759" s="560"/>
      <c r="L4759" s="560"/>
      <c r="M4759" s="560"/>
    </row>
    <row r="4760" spans="3:13" s="338" customFormat="1">
      <c r="C4760" s="558"/>
      <c r="D4760" s="559"/>
      <c r="E4760" s="559"/>
      <c r="F4760" s="559"/>
      <c r="G4760" s="558"/>
      <c r="H4760" s="559"/>
      <c r="I4760" s="559"/>
      <c r="J4760" s="559"/>
      <c r="K4760" s="560"/>
      <c r="L4760" s="560"/>
      <c r="M4760" s="560"/>
    </row>
    <row r="4761" spans="3:13" s="338" customFormat="1">
      <c r="C4761" s="558"/>
      <c r="D4761" s="559"/>
      <c r="E4761" s="559"/>
      <c r="F4761" s="559"/>
      <c r="G4761" s="558"/>
      <c r="H4761" s="559"/>
      <c r="I4761" s="559"/>
      <c r="J4761" s="559"/>
      <c r="K4761" s="560"/>
      <c r="L4761" s="560"/>
      <c r="M4761" s="560"/>
    </row>
    <row r="4762" spans="3:13" s="338" customFormat="1">
      <c r="C4762" s="558"/>
      <c r="D4762" s="559"/>
      <c r="E4762" s="559"/>
      <c r="F4762" s="559"/>
      <c r="G4762" s="558"/>
      <c r="H4762" s="559"/>
      <c r="I4762" s="559"/>
      <c r="J4762" s="559"/>
      <c r="K4762" s="560"/>
      <c r="L4762" s="560"/>
      <c r="M4762" s="560"/>
    </row>
    <row r="4763" spans="3:13" s="338" customFormat="1">
      <c r="C4763" s="558"/>
      <c r="D4763" s="559"/>
      <c r="E4763" s="559"/>
      <c r="F4763" s="559"/>
      <c r="G4763" s="558"/>
      <c r="H4763" s="559"/>
      <c r="I4763" s="559"/>
      <c r="J4763" s="559"/>
      <c r="K4763" s="560"/>
      <c r="L4763" s="560"/>
      <c r="M4763" s="560"/>
    </row>
    <row r="4764" spans="3:13" s="338" customFormat="1">
      <c r="C4764" s="558"/>
      <c r="D4764" s="559"/>
      <c r="E4764" s="559"/>
      <c r="F4764" s="559"/>
      <c r="G4764" s="558"/>
      <c r="H4764" s="559"/>
      <c r="I4764" s="559"/>
      <c r="J4764" s="559"/>
      <c r="K4764" s="560"/>
      <c r="L4764" s="560"/>
      <c r="M4764" s="560"/>
    </row>
    <row r="4765" spans="3:13" s="338" customFormat="1">
      <c r="C4765" s="558"/>
      <c r="D4765" s="559"/>
      <c r="E4765" s="559"/>
      <c r="F4765" s="559"/>
      <c r="G4765" s="558"/>
      <c r="H4765" s="559"/>
      <c r="I4765" s="559"/>
      <c r="J4765" s="559"/>
      <c r="K4765" s="560"/>
      <c r="L4765" s="560"/>
      <c r="M4765" s="560"/>
    </row>
    <row r="4766" spans="3:13" s="338" customFormat="1">
      <c r="C4766" s="558"/>
      <c r="D4766" s="559"/>
      <c r="E4766" s="559"/>
      <c r="F4766" s="559"/>
      <c r="G4766" s="558"/>
      <c r="H4766" s="559"/>
      <c r="I4766" s="559"/>
      <c r="J4766" s="559"/>
      <c r="K4766" s="560"/>
      <c r="L4766" s="560"/>
      <c r="M4766" s="560"/>
    </row>
    <row r="4767" spans="3:13" s="338" customFormat="1">
      <c r="C4767" s="558"/>
      <c r="D4767" s="559"/>
      <c r="E4767" s="559"/>
      <c r="F4767" s="559"/>
      <c r="G4767" s="558"/>
      <c r="H4767" s="559"/>
      <c r="I4767" s="559"/>
      <c r="J4767" s="559"/>
      <c r="K4767" s="560"/>
      <c r="L4767" s="560"/>
      <c r="M4767" s="560"/>
    </row>
    <row r="4768" spans="3:13" s="338" customFormat="1">
      <c r="C4768" s="558"/>
      <c r="D4768" s="559"/>
      <c r="E4768" s="559"/>
      <c r="F4768" s="559"/>
      <c r="G4768" s="558"/>
      <c r="H4768" s="559"/>
      <c r="I4768" s="559"/>
      <c r="J4768" s="559"/>
      <c r="K4768" s="560"/>
      <c r="L4768" s="560"/>
      <c r="M4768" s="560"/>
    </row>
    <row r="4769" spans="3:13" s="338" customFormat="1">
      <c r="C4769" s="558"/>
      <c r="D4769" s="559"/>
      <c r="E4769" s="559"/>
      <c r="F4769" s="559"/>
      <c r="G4769" s="558"/>
      <c r="H4769" s="559"/>
      <c r="I4769" s="559"/>
      <c r="J4769" s="559"/>
      <c r="K4769" s="560"/>
      <c r="L4769" s="560"/>
      <c r="M4769" s="560"/>
    </row>
    <row r="4770" spans="3:13" s="338" customFormat="1">
      <c r="C4770" s="558"/>
      <c r="D4770" s="559"/>
      <c r="E4770" s="559"/>
      <c r="F4770" s="559"/>
      <c r="G4770" s="558"/>
      <c r="H4770" s="559"/>
      <c r="I4770" s="559"/>
      <c r="J4770" s="559"/>
      <c r="K4770" s="560"/>
      <c r="L4770" s="560"/>
      <c r="M4770" s="560"/>
    </row>
    <row r="4771" spans="3:13" s="338" customFormat="1">
      <c r="C4771" s="558"/>
      <c r="D4771" s="559"/>
      <c r="E4771" s="559"/>
      <c r="F4771" s="559"/>
      <c r="G4771" s="558"/>
      <c r="H4771" s="559"/>
      <c r="I4771" s="559"/>
      <c r="J4771" s="559"/>
      <c r="K4771" s="560"/>
      <c r="L4771" s="560"/>
      <c r="M4771" s="560"/>
    </row>
    <row r="4772" spans="3:13" s="338" customFormat="1">
      <c r="C4772" s="558"/>
      <c r="D4772" s="559"/>
      <c r="E4772" s="559"/>
      <c r="F4772" s="559"/>
      <c r="G4772" s="558"/>
      <c r="H4772" s="559"/>
      <c r="I4772" s="559"/>
      <c r="J4772" s="559"/>
      <c r="K4772" s="560"/>
      <c r="L4772" s="560"/>
      <c r="M4772" s="560"/>
    </row>
    <row r="4773" spans="3:13" s="338" customFormat="1">
      <c r="C4773" s="558"/>
      <c r="D4773" s="559"/>
      <c r="E4773" s="559"/>
      <c r="F4773" s="559"/>
      <c r="G4773" s="558"/>
      <c r="H4773" s="559"/>
      <c r="I4773" s="559"/>
      <c r="J4773" s="559"/>
      <c r="K4773" s="560"/>
      <c r="L4773" s="560"/>
      <c r="M4773" s="560"/>
    </row>
    <row r="4774" spans="3:13" s="338" customFormat="1">
      <c r="C4774" s="558"/>
      <c r="D4774" s="559"/>
      <c r="E4774" s="559"/>
      <c r="F4774" s="559"/>
      <c r="G4774" s="558"/>
      <c r="H4774" s="559"/>
      <c r="I4774" s="559"/>
      <c r="J4774" s="559"/>
      <c r="K4774" s="560"/>
      <c r="L4774" s="560"/>
      <c r="M4774" s="560"/>
    </row>
    <row r="4775" spans="3:13" s="338" customFormat="1">
      <c r="C4775" s="558"/>
      <c r="D4775" s="559"/>
      <c r="E4775" s="559"/>
      <c r="F4775" s="559"/>
      <c r="G4775" s="558"/>
      <c r="H4775" s="559"/>
      <c r="I4775" s="559"/>
      <c r="J4775" s="559"/>
      <c r="K4775" s="560"/>
      <c r="L4775" s="560"/>
      <c r="M4775" s="560"/>
    </row>
    <row r="4776" spans="3:13" s="338" customFormat="1">
      <c r="C4776" s="558"/>
      <c r="D4776" s="559"/>
      <c r="E4776" s="559"/>
      <c r="F4776" s="559"/>
      <c r="G4776" s="558"/>
      <c r="H4776" s="559"/>
      <c r="I4776" s="559"/>
      <c r="J4776" s="559"/>
      <c r="K4776" s="560"/>
      <c r="L4776" s="560"/>
      <c r="M4776" s="560"/>
    </row>
    <row r="4777" spans="3:13" s="338" customFormat="1">
      <c r="C4777" s="558"/>
      <c r="D4777" s="559"/>
      <c r="E4777" s="559"/>
      <c r="F4777" s="559"/>
      <c r="G4777" s="558"/>
      <c r="H4777" s="559"/>
      <c r="I4777" s="559"/>
      <c r="J4777" s="559"/>
      <c r="K4777" s="560"/>
      <c r="L4777" s="560"/>
      <c r="M4777" s="560"/>
    </row>
    <row r="4778" spans="3:13" s="338" customFormat="1">
      <c r="C4778" s="558"/>
      <c r="D4778" s="559"/>
      <c r="E4778" s="559"/>
      <c r="F4778" s="559"/>
      <c r="G4778" s="558"/>
      <c r="H4778" s="559"/>
      <c r="I4778" s="559"/>
      <c r="J4778" s="559"/>
      <c r="K4778" s="560"/>
      <c r="L4778" s="560"/>
      <c r="M4778" s="560"/>
    </row>
    <row r="4779" spans="3:13" s="338" customFormat="1">
      <c r="C4779" s="558"/>
      <c r="D4779" s="559"/>
      <c r="E4779" s="559"/>
      <c r="F4779" s="559"/>
      <c r="G4779" s="558"/>
      <c r="H4779" s="559"/>
      <c r="I4779" s="559"/>
      <c r="J4779" s="559"/>
      <c r="K4779" s="560"/>
      <c r="L4779" s="560"/>
      <c r="M4779" s="560"/>
    </row>
    <row r="4780" spans="3:13" s="338" customFormat="1">
      <c r="C4780" s="558"/>
      <c r="D4780" s="559"/>
      <c r="E4780" s="559"/>
      <c r="F4780" s="559"/>
      <c r="G4780" s="558"/>
      <c r="H4780" s="559"/>
      <c r="I4780" s="559"/>
      <c r="J4780" s="559"/>
      <c r="K4780" s="560"/>
      <c r="L4780" s="560"/>
      <c r="M4780" s="560"/>
    </row>
    <row r="4781" spans="3:13" s="338" customFormat="1">
      <c r="C4781" s="558"/>
      <c r="D4781" s="559"/>
      <c r="E4781" s="559"/>
      <c r="F4781" s="559"/>
      <c r="G4781" s="558"/>
      <c r="H4781" s="559"/>
      <c r="I4781" s="559"/>
      <c r="J4781" s="559"/>
      <c r="K4781" s="560"/>
      <c r="L4781" s="560"/>
      <c r="M4781" s="560"/>
    </row>
    <row r="4782" spans="3:13" s="338" customFormat="1">
      <c r="C4782" s="558"/>
      <c r="D4782" s="559"/>
      <c r="E4782" s="559"/>
      <c r="F4782" s="559"/>
      <c r="G4782" s="558"/>
      <c r="H4782" s="559"/>
      <c r="I4782" s="559"/>
      <c r="J4782" s="559"/>
      <c r="K4782" s="560"/>
      <c r="L4782" s="560"/>
      <c r="M4782" s="560"/>
    </row>
    <row r="4783" spans="3:13" s="338" customFormat="1">
      <c r="C4783" s="558"/>
      <c r="D4783" s="559"/>
      <c r="E4783" s="559"/>
      <c r="F4783" s="559"/>
      <c r="G4783" s="558"/>
      <c r="H4783" s="559"/>
      <c r="I4783" s="559"/>
      <c r="J4783" s="559"/>
      <c r="K4783" s="560"/>
      <c r="L4783" s="560"/>
      <c r="M4783" s="560"/>
    </row>
    <row r="4784" spans="3:13" s="338" customFormat="1">
      <c r="C4784" s="558"/>
      <c r="D4784" s="559"/>
      <c r="E4784" s="559"/>
      <c r="F4784" s="559"/>
      <c r="G4784" s="558"/>
      <c r="H4784" s="559"/>
      <c r="I4784" s="559"/>
      <c r="J4784" s="559"/>
      <c r="K4784" s="560"/>
      <c r="L4784" s="560"/>
      <c r="M4784" s="560"/>
    </row>
    <row r="4785" spans="3:13" s="338" customFormat="1">
      <c r="C4785" s="558"/>
      <c r="D4785" s="559"/>
      <c r="E4785" s="559"/>
      <c r="F4785" s="559"/>
      <c r="G4785" s="558"/>
      <c r="H4785" s="559"/>
      <c r="I4785" s="559"/>
      <c r="J4785" s="559"/>
      <c r="K4785" s="560"/>
      <c r="L4785" s="560"/>
      <c r="M4785" s="560"/>
    </row>
    <row r="4786" spans="3:13" s="338" customFormat="1">
      <c r="C4786" s="558"/>
      <c r="D4786" s="559"/>
      <c r="E4786" s="559"/>
      <c r="F4786" s="559"/>
      <c r="G4786" s="558"/>
      <c r="H4786" s="559"/>
      <c r="I4786" s="559"/>
      <c r="J4786" s="559"/>
      <c r="K4786" s="560"/>
      <c r="L4786" s="560"/>
      <c r="M4786" s="560"/>
    </row>
    <row r="4787" spans="3:13" s="338" customFormat="1">
      <c r="C4787" s="558"/>
      <c r="D4787" s="559"/>
      <c r="E4787" s="559"/>
      <c r="F4787" s="559"/>
      <c r="G4787" s="558"/>
      <c r="H4787" s="559"/>
      <c r="I4787" s="559"/>
      <c r="J4787" s="559"/>
      <c r="K4787" s="560"/>
      <c r="L4787" s="560"/>
      <c r="M4787" s="560"/>
    </row>
    <row r="4788" spans="3:13" s="338" customFormat="1">
      <c r="C4788" s="558"/>
      <c r="D4788" s="559"/>
      <c r="E4788" s="559"/>
      <c r="F4788" s="559"/>
      <c r="G4788" s="558"/>
      <c r="H4788" s="559"/>
      <c r="I4788" s="559"/>
      <c r="J4788" s="559"/>
      <c r="K4788" s="560"/>
      <c r="L4788" s="560"/>
      <c r="M4788" s="560"/>
    </row>
    <row r="4789" spans="3:13" s="338" customFormat="1">
      <c r="C4789" s="558"/>
      <c r="D4789" s="559"/>
      <c r="E4789" s="559"/>
      <c r="F4789" s="559"/>
      <c r="G4789" s="558"/>
      <c r="H4789" s="559"/>
      <c r="I4789" s="559"/>
      <c r="J4789" s="559"/>
      <c r="K4789" s="560"/>
      <c r="L4789" s="560"/>
      <c r="M4789" s="560"/>
    </row>
    <row r="4790" spans="3:13" s="338" customFormat="1">
      <c r="C4790" s="558"/>
      <c r="D4790" s="559"/>
      <c r="E4790" s="559"/>
      <c r="F4790" s="559"/>
      <c r="G4790" s="558"/>
      <c r="H4790" s="559"/>
      <c r="I4790" s="559"/>
      <c r="J4790" s="559"/>
      <c r="K4790" s="560"/>
      <c r="L4790" s="560"/>
      <c r="M4790" s="560"/>
    </row>
    <row r="4791" spans="3:13" s="338" customFormat="1">
      <c r="C4791" s="558"/>
      <c r="D4791" s="559"/>
      <c r="E4791" s="559"/>
      <c r="F4791" s="559"/>
      <c r="G4791" s="558"/>
      <c r="H4791" s="559"/>
      <c r="I4791" s="559"/>
      <c r="J4791" s="559"/>
      <c r="K4791" s="560"/>
      <c r="L4791" s="560"/>
      <c r="M4791" s="560"/>
    </row>
    <row r="4792" spans="3:13" s="338" customFormat="1">
      <c r="C4792" s="558"/>
      <c r="D4792" s="559"/>
      <c r="E4792" s="559"/>
      <c r="F4792" s="559"/>
      <c r="G4792" s="558"/>
      <c r="H4792" s="559"/>
      <c r="I4792" s="559"/>
      <c r="J4792" s="559"/>
      <c r="K4792" s="560"/>
      <c r="L4792" s="560"/>
      <c r="M4792" s="560"/>
    </row>
    <row r="4793" spans="3:13" s="338" customFormat="1">
      <c r="C4793" s="558"/>
      <c r="D4793" s="559"/>
      <c r="E4793" s="559"/>
      <c r="F4793" s="559"/>
      <c r="G4793" s="558"/>
      <c r="H4793" s="559"/>
      <c r="I4793" s="559"/>
      <c r="J4793" s="559"/>
      <c r="K4793" s="560"/>
      <c r="L4793" s="560"/>
      <c r="M4793" s="560"/>
    </row>
    <row r="4794" spans="3:13" s="338" customFormat="1">
      <c r="C4794" s="558"/>
      <c r="D4794" s="559"/>
      <c r="E4794" s="559"/>
      <c r="F4794" s="559"/>
      <c r="G4794" s="558"/>
      <c r="H4794" s="559"/>
      <c r="I4794" s="559"/>
      <c r="J4794" s="559"/>
      <c r="K4794" s="560"/>
      <c r="L4794" s="560"/>
      <c r="M4794" s="560"/>
    </row>
    <row r="4795" spans="3:13" s="338" customFormat="1">
      <c r="C4795" s="558"/>
      <c r="D4795" s="559"/>
      <c r="E4795" s="559"/>
      <c r="F4795" s="559"/>
      <c r="G4795" s="558"/>
      <c r="H4795" s="559"/>
      <c r="I4795" s="559"/>
      <c r="J4795" s="559"/>
      <c r="K4795" s="560"/>
      <c r="L4795" s="560"/>
      <c r="M4795" s="560"/>
    </row>
    <row r="4796" spans="3:13" s="338" customFormat="1">
      <c r="C4796" s="558"/>
      <c r="D4796" s="559"/>
      <c r="E4796" s="559"/>
      <c r="F4796" s="559"/>
      <c r="G4796" s="558"/>
      <c r="H4796" s="559"/>
      <c r="I4796" s="559"/>
      <c r="J4796" s="559"/>
      <c r="K4796" s="560"/>
      <c r="L4796" s="560"/>
      <c r="M4796" s="560"/>
    </row>
    <row r="4797" spans="3:13" s="338" customFormat="1">
      <c r="C4797" s="558"/>
      <c r="D4797" s="559"/>
      <c r="E4797" s="559"/>
      <c r="F4797" s="559"/>
      <c r="G4797" s="558"/>
      <c r="H4797" s="559"/>
      <c r="I4797" s="559"/>
      <c r="J4797" s="559"/>
      <c r="K4797" s="560"/>
      <c r="L4797" s="560"/>
      <c r="M4797" s="560"/>
    </row>
    <row r="4798" spans="3:13" s="338" customFormat="1">
      <c r="C4798" s="558"/>
      <c r="D4798" s="559"/>
      <c r="E4798" s="559"/>
      <c r="F4798" s="559"/>
      <c r="G4798" s="558"/>
      <c r="H4798" s="559"/>
      <c r="I4798" s="559"/>
      <c r="J4798" s="559"/>
      <c r="K4798" s="560"/>
      <c r="L4798" s="560"/>
      <c r="M4798" s="560"/>
    </row>
    <row r="4799" spans="3:13" s="338" customFormat="1">
      <c r="C4799" s="558"/>
      <c r="D4799" s="559"/>
      <c r="E4799" s="559"/>
      <c r="F4799" s="559"/>
      <c r="G4799" s="558"/>
      <c r="H4799" s="559"/>
      <c r="I4799" s="559"/>
      <c r="J4799" s="559"/>
      <c r="K4799" s="560"/>
      <c r="L4799" s="560"/>
      <c r="M4799" s="560"/>
    </row>
    <row r="4800" spans="3:13" s="338" customFormat="1">
      <c r="C4800" s="558"/>
      <c r="D4800" s="559"/>
      <c r="E4800" s="559"/>
      <c r="F4800" s="559"/>
      <c r="G4800" s="558"/>
      <c r="H4800" s="559"/>
      <c r="I4800" s="559"/>
      <c r="J4800" s="559"/>
      <c r="K4800" s="560"/>
      <c r="L4800" s="560"/>
      <c r="M4800" s="560"/>
    </row>
    <row r="4801" spans="3:13" s="338" customFormat="1">
      <c r="C4801" s="558"/>
      <c r="D4801" s="559"/>
      <c r="E4801" s="559"/>
      <c r="F4801" s="559"/>
      <c r="G4801" s="558"/>
      <c r="H4801" s="559"/>
      <c r="I4801" s="559"/>
      <c r="J4801" s="559"/>
      <c r="K4801" s="560"/>
      <c r="L4801" s="560"/>
      <c r="M4801" s="560"/>
    </row>
    <row r="4802" spans="3:13" s="338" customFormat="1">
      <c r="C4802" s="558"/>
      <c r="D4802" s="559"/>
      <c r="E4802" s="559"/>
      <c r="F4802" s="559"/>
      <c r="G4802" s="558"/>
      <c r="H4802" s="559"/>
      <c r="I4802" s="559"/>
      <c r="J4802" s="559"/>
      <c r="K4802" s="560"/>
      <c r="L4802" s="560"/>
      <c r="M4802" s="560"/>
    </row>
    <row r="4803" spans="3:13" s="338" customFormat="1">
      <c r="C4803" s="558"/>
      <c r="D4803" s="559"/>
      <c r="E4803" s="559"/>
      <c r="F4803" s="559"/>
      <c r="G4803" s="558"/>
      <c r="H4803" s="559"/>
      <c r="I4803" s="559"/>
      <c r="J4803" s="559"/>
      <c r="K4803" s="560"/>
      <c r="L4803" s="560"/>
      <c r="M4803" s="560"/>
    </row>
    <row r="4804" spans="3:13" s="338" customFormat="1">
      <c r="C4804" s="558"/>
      <c r="D4804" s="559"/>
      <c r="E4804" s="559"/>
      <c r="F4804" s="559"/>
      <c r="G4804" s="558"/>
      <c r="H4804" s="559"/>
      <c r="I4804" s="559"/>
      <c r="J4804" s="559"/>
      <c r="K4804" s="560"/>
      <c r="L4804" s="560"/>
      <c r="M4804" s="560"/>
    </row>
    <row r="4805" spans="3:13" s="338" customFormat="1">
      <c r="C4805" s="558"/>
      <c r="D4805" s="559"/>
      <c r="E4805" s="559"/>
      <c r="F4805" s="559"/>
      <c r="G4805" s="558"/>
      <c r="H4805" s="559"/>
      <c r="I4805" s="559"/>
      <c r="J4805" s="559"/>
      <c r="K4805" s="560"/>
      <c r="L4805" s="560"/>
      <c r="M4805" s="560"/>
    </row>
    <row r="4806" spans="3:13" s="338" customFormat="1">
      <c r="C4806" s="558"/>
      <c r="D4806" s="559"/>
      <c r="E4806" s="559"/>
      <c r="F4806" s="559"/>
      <c r="G4806" s="558"/>
      <c r="H4806" s="559"/>
      <c r="I4806" s="559"/>
      <c r="J4806" s="559"/>
      <c r="K4806" s="560"/>
      <c r="L4806" s="560"/>
      <c r="M4806" s="560"/>
    </row>
    <row r="4807" spans="3:13" s="338" customFormat="1">
      <c r="C4807" s="558"/>
      <c r="D4807" s="559"/>
      <c r="E4807" s="559"/>
      <c r="F4807" s="559"/>
      <c r="G4807" s="558"/>
      <c r="H4807" s="559"/>
      <c r="I4807" s="559"/>
      <c r="J4807" s="559"/>
      <c r="K4807" s="560"/>
      <c r="L4807" s="560"/>
      <c r="M4807" s="560"/>
    </row>
    <row r="4808" spans="3:13" s="338" customFormat="1">
      <c r="C4808" s="558"/>
      <c r="D4808" s="559"/>
      <c r="E4808" s="559"/>
      <c r="F4808" s="559"/>
      <c r="G4808" s="558"/>
      <c r="H4808" s="559"/>
      <c r="I4808" s="559"/>
      <c r="J4808" s="559"/>
      <c r="K4808" s="560"/>
      <c r="L4808" s="560"/>
      <c r="M4808" s="560"/>
    </row>
    <row r="4809" spans="3:13" s="338" customFormat="1">
      <c r="C4809" s="558"/>
      <c r="D4809" s="559"/>
      <c r="E4809" s="559"/>
      <c r="F4809" s="559"/>
      <c r="G4809" s="558"/>
      <c r="H4809" s="559"/>
      <c r="I4809" s="559"/>
      <c r="J4809" s="559"/>
      <c r="K4809" s="560"/>
      <c r="L4809" s="560"/>
      <c r="M4809" s="560"/>
    </row>
    <row r="4810" spans="3:13" s="338" customFormat="1">
      <c r="C4810" s="558"/>
      <c r="D4810" s="559"/>
      <c r="E4810" s="559"/>
      <c r="F4810" s="559"/>
      <c r="G4810" s="558"/>
      <c r="H4810" s="559"/>
      <c r="I4810" s="559"/>
      <c r="J4810" s="559"/>
      <c r="K4810" s="560"/>
      <c r="L4810" s="560"/>
      <c r="M4810" s="560"/>
    </row>
    <row r="4811" spans="3:13" s="338" customFormat="1">
      <c r="C4811" s="558"/>
      <c r="D4811" s="559"/>
      <c r="E4811" s="559"/>
      <c r="F4811" s="559"/>
      <c r="G4811" s="558"/>
      <c r="H4811" s="559"/>
      <c r="I4811" s="559"/>
      <c r="J4811" s="559"/>
      <c r="K4811" s="560"/>
      <c r="L4811" s="560"/>
      <c r="M4811" s="560"/>
    </row>
    <row r="4812" spans="3:13" s="338" customFormat="1">
      <c r="C4812" s="558"/>
      <c r="D4812" s="559"/>
      <c r="E4812" s="559"/>
      <c r="F4812" s="559"/>
      <c r="G4812" s="558"/>
      <c r="H4812" s="559"/>
      <c r="I4812" s="559"/>
      <c r="J4812" s="559"/>
      <c r="K4812" s="560"/>
      <c r="L4812" s="560"/>
      <c r="M4812" s="560"/>
    </row>
    <row r="4813" spans="3:13" s="338" customFormat="1">
      <c r="C4813" s="558"/>
      <c r="D4813" s="559"/>
      <c r="E4813" s="559"/>
      <c r="F4813" s="559"/>
      <c r="G4813" s="558"/>
      <c r="H4813" s="559"/>
      <c r="I4813" s="559"/>
      <c r="J4813" s="559"/>
      <c r="K4813" s="560"/>
      <c r="L4813" s="560"/>
      <c r="M4813" s="560"/>
    </row>
    <row r="4814" spans="3:13" s="338" customFormat="1">
      <c r="C4814" s="558"/>
      <c r="D4814" s="559"/>
      <c r="E4814" s="559"/>
      <c r="F4814" s="559"/>
      <c r="G4814" s="558"/>
      <c r="H4814" s="559"/>
      <c r="I4814" s="559"/>
      <c r="J4814" s="559"/>
      <c r="K4814" s="560"/>
      <c r="L4814" s="560"/>
      <c r="M4814" s="560"/>
    </row>
    <row r="4815" spans="3:13" s="338" customFormat="1">
      <c r="C4815" s="558"/>
      <c r="D4815" s="559"/>
      <c r="E4815" s="559"/>
      <c r="F4815" s="559"/>
      <c r="G4815" s="558"/>
      <c r="H4815" s="559"/>
      <c r="I4815" s="559"/>
      <c r="J4815" s="559"/>
      <c r="K4815" s="560"/>
      <c r="L4815" s="560"/>
      <c r="M4815" s="560"/>
    </row>
    <row r="4816" spans="3:13" s="338" customFormat="1">
      <c r="C4816" s="558"/>
      <c r="D4816" s="559"/>
      <c r="E4816" s="559"/>
      <c r="F4816" s="559"/>
      <c r="G4816" s="558"/>
      <c r="H4816" s="559"/>
      <c r="I4816" s="559"/>
      <c r="J4816" s="559"/>
      <c r="K4816" s="560"/>
      <c r="L4816" s="560"/>
      <c r="M4816" s="560"/>
    </row>
    <row r="4817" spans="3:13" s="338" customFormat="1">
      <c r="C4817" s="558"/>
      <c r="D4817" s="559"/>
      <c r="E4817" s="559"/>
      <c r="F4817" s="559"/>
      <c r="G4817" s="558"/>
      <c r="H4817" s="559"/>
      <c r="I4817" s="559"/>
      <c r="J4817" s="559"/>
      <c r="K4817" s="560"/>
      <c r="L4817" s="560"/>
      <c r="M4817" s="560"/>
    </row>
    <row r="4818" spans="3:13" s="338" customFormat="1">
      <c r="C4818" s="558"/>
      <c r="D4818" s="559"/>
      <c r="E4818" s="559"/>
      <c r="F4818" s="559"/>
      <c r="G4818" s="558"/>
      <c r="H4818" s="559"/>
      <c r="I4818" s="559"/>
      <c r="J4818" s="559"/>
      <c r="K4818" s="560"/>
      <c r="L4818" s="560"/>
      <c r="M4818" s="560"/>
    </row>
    <row r="4819" spans="3:13" s="338" customFormat="1">
      <c r="C4819" s="558"/>
      <c r="D4819" s="559"/>
      <c r="E4819" s="559"/>
      <c r="F4819" s="559"/>
      <c r="G4819" s="558"/>
      <c r="H4819" s="559"/>
      <c r="I4819" s="559"/>
      <c r="J4819" s="559"/>
      <c r="K4819" s="560"/>
      <c r="L4819" s="560"/>
      <c r="M4819" s="560"/>
    </row>
    <row r="4820" spans="3:13" s="338" customFormat="1">
      <c r="C4820" s="558"/>
      <c r="D4820" s="559"/>
      <c r="E4820" s="559"/>
      <c r="F4820" s="559"/>
      <c r="G4820" s="558"/>
      <c r="H4820" s="559"/>
      <c r="I4820" s="559"/>
      <c r="J4820" s="559"/>
      <c r="K4820" s="560"/>
      <c r="L4820" s="560"/>
      <c r="M4820" s="560"/>
    </row>
    <row r="4821" spans="3:13" s="338" customFormat="1">
      <c r="C4821" s="558"/>
      <c r="D4821" s="559"/>
      <c r="E4821" s="559"/>
      <c r="F4821" s="559"/>
      <c r="G4821" s="558"/>
      <c r="H4821" s="559"/>
      <c r="I4821" s="559"/>
      <c r="J4821" s="559"/>
      <c r="K4821" s="560"/>
      <c r="L4821" s="560"/>
      <c r="M4821" s="560"/>
    </row>
    <row r="4822" spans="3:13" s="338" customFormat="1">
      <c r="C4822" s="558"/>
      <c r="D4822" s="559"/>
      <c r="E4822" s="559"/>
      <c r="F4822" s="559"/>
      <c r="G4822" s="558"/>
      <c r="H4822" s="559"/>
      <c r="I4822" s="559"/>
      <c r="J4822" s="559"/>
      <c r="K4822" s="560"/>
      <c r="L4822" s="560"/>
      <c r="M4822" s="560"/>
    </row>
    <row r="4823" spans="3:13" s="338" customFormat="1">
      <c r="C4823" s="558"/>
      <c r="D4823" s="559"/>
      <c r="E4823" s="559"/>
      <c r="F4823" s="559"/>
      <c r="G4823" s="558"/>
      <c r="H4823" s="559"/>
      <c r="I4823" s="559"/>
      <c r="J4823" s="559"/>
      <c r="K4823" s="560"/>
      <c r="L4823" s="560"/>
      <c r="M4823" s="560"/>
    </row>
    <row r="4824" spans="3:13" s="338" customFormat="1">
      <c r="C4824" s="558"/>
      <c r="D4824" s="559"/>
      <c r="E4824" s="559"/>
      <c r="F4824" s="559"/>
      <c r="G4824" s="558"/>
      <c r="H4824" s="559"/>
      <c r="I4824" s="559"/>
      <c r="J4824" s="559"/>
      <c r="K4824" s="560"/>
      <c r="L4824" s="560"/>
      <c r="M4824" s="560"/>
    </row>
    <row r="4825" spans="3:13" s="338" customFormat="1">
      <c r="C4825" s="558"/>
      <c r="D4825" s="559"/>
      <c r="E4825" s="559"/>
      <c r="F4825" s="559"/>
      <c r="G4825" s="558"/>
      <c r="H4825" s="559"/>
      <c r="I4825" s="559"/>
      <c r="J4825" s="559"/>
      <c r="K4825" s="560"/>
      <c r="L4825" s="560"/>
      <c r="M4825" s="560"/>
    </row>
    <row r="4826" spans="3:13" s="338" customFormat="1">
      <c r="C4826" s="558"/>
      <c r="D4826" s="559"/>
      <c r="E4826" s="559"/>
      <c r="F4826" s="559"/>
      <c r="G4826" s="558"/>
      <c r="H4826" s="559"/>
      <c r="I4826" s="559"/>
      <c r="J4826" s="559"/>
      <c r="K4826" s="560"/>
      <c r="L4826" s="560"/>
      <c r="M4826" s="560"/>
    </row>
    <row r="4827" spans="3:13" s="338" customFormat="1">
      <c r="C4827" s="558"/>
      <c r="D4827" s="559"/>
      <c r="E4827" s="559"/>
      <c r="F4827" s="559"/>
      <c r="G4827" s="558"/>
      <c r="H4827" s="559"/>
      <c r="I4827" s="559"/>
      <c r="J4827" s="559"/>
      <c r="K4827" s="560"/>
      <c r="L4827" s="560"/>
      <c r="M4827" s="560"/>
    </row>
    <row r="4828" spans="3:13" s="338" customFormat="1">
      <c r="C4828" s="558"/>
      <c r="D4828" s="559"/>
      <c r="E4828" s="559"/>
      <c r="F4828" s="559"/>
      <c r="G4828" s="558"/>
      <c r="H4828" s="559"/>
      <c r="I4828" s="559"/>
      <c r="J4828" s="559"/>
      <c r="K4828" s="560"/>
      <c r="L4828" s="560"/>
      <c r="M4828" s="560"/>
    </row>
    <row r="4829" spans="3:13" s="338" customFormat="1">
      <c r="C4829" s="558"/>
      <c r="D4829" s="559"/>
      <c r="E4829" s="559"/>
      <c r="F4829" s="559"/>
      <c r="G4829" s="558"/>
      <c r="H4829" s="559"/>
      <c r="I4829" s="559"/>
      <c r="J4829" s="559"/>
      <c r="K4829" s="560"/>
      <c r="L4829" s="560"/>
      <c r="M4829" s="560"/>
    </row>
    <row r="4830" spans="3:13" s="338" customFormat="1">
      <c r="C4830" s="558"/>
      <c r="D4830" s="559"/>
      <c r="E4830" s="559"/>
      <c r="F4830" s="559"/>
      <c r="G4830" s="558"/>
      <c r="H4830" s="559"/>
      <c r="I4830" s="559"/>
      <c r="J4830" s="559"/>
      <c r="K4830" s="560"/>
      <c r="L4830" s="560"/>
      <c r="M4830" s="560"/>
    </row>
    <row r="4831" spans="3:13" s="338" customFormat="1">
      <c r="C4831" s="558"/>
      <c r="D4831" s="559"/>
      <c r="E4831" s="559"/>
      <c r="F4831" s="559"/>
      <c r="G4831" s="558"/>
      <c r="H4831" s="559"/>
      <c r="I4831" s="559"/>
      <c r="J4831" s="559"/>
      <c r="K4831" s="560"/>
      <c r="L4831" s="560"/>
      <c r="M4831" s="560"/>
    </row>
    <row r="4832" spans="3:13" s="338" customFormat="1">
      <c r="C4832" s="558"/>
      <c r="D4832" s="559"/>
      <c r="E4832" s="559"/>
      <c r="F4832" s="559"/>
      <c r="G4832" s="558"/>
      <c r="H4832" s="559"/>
      <c r="I4832" s="559"/>
      <c r="J4832" s="559"/>
      <c r="K4832" s="560"/>
      <c r="L4832" s="560"/>
      <c r="M4832" s="560"/>
    </row>
    <row r="4833" spans="3:13" s="338" customFormat="1">
      <c r="C4833" s="558"/>
      <c r="D4833" s="559"/>
      <c r="E4833" s="559"/>
      <c r="F4833" s="559"/>
      <c r="G4833" s="558"/>
      <c r="H4833" s="559"/>
      <c r="I4833" s="559"/>
      <c r="J4833" s="559"/>
      <c r="K4833" s="560"/>
      <c r="L4833" s="560"/>
      <c r="M4833" s="560"/>
    </row>
    <row r="4834" spans="3:13" s="338" customFormat="1">
      <c r="C4834" s="558"/>
      <c r="D4834" s="559"/>
      <c r="E4834" s="559"/>
      <c r="F4834" s="559"/>
      <c r="G4834" s="558"/>
      <c r="H4834" s="559"/>
      <c r="I4834" s="559"/>
      <c r="J4834" s="559"/>
      <c r="K4834" s="560"/>
      <c r="L4834" s="560"/>
      <c r="M4834" s="560"/>
    </row>
    <row r="4835" spans="3:13" s="338" customFormat="1">
      <c r="C4835" s="558"/>
      <c r="D4835" s="559"/>
      <c r="E4835" s="559"/>
      <c r="F4835" s="559"/>
      <c r="G4835" s="558"/>
      <c r="H4835" s="559"/>
      <c r="I4835" s="559"/>
      <c r="J4835" s="559"/>
      <c r="K4835" s="560"/>
      <c r="L4835" s="560"/>
      <c r="M4835" s="560"/>
    </row>
    <row r="4836" spans="3:13" s="338" customFormat="1">
      <c r="C4836" s="558"/>
      <c r="D4836" s="559"/>
      <c r="E4836" s="559"/>
      <c r="F4836" s="559"/>
      <c r="G4836" s="558"/>
      <c r="H4836" s="559"/>
      <c r="I4836" s="559"/>
      <c r="J4836" s="559"/>
      <c r="K4836" s="560"/>
      <c r="L4836" s="560"/>
      <c r="M4836" s="560"/>
    </row>
    <row r="4837" spans="3:13" s="338" customFormat="1">
      <c r="C4837" s="558"/>
      <c r="D4837" s="559"/>
      <c r="E4837" s="559"/>
      <c r="F4837" s="559"/>
      <c r="G4837" s="558"/>
      <c r="H4837" s="559"/>
      <c r="I4837" s="559"/>
      <c r="J4837" s="559"/>
      <c r="K4837" s="560"/>
      <c r="L4837" s="560"/>
      <c r="M4837" s="560"/>
    </row>
    <row r="4838" spans="3:13" s="338" customFormat="1">
      <c r="C4838" s="558"/>
      <c r="D4838" s="559"/>
      <c r="E4838" s="559"/>
      <c r="F4838" s="559"/>
      <c r="G4838" s="558"/>
      <c r="H4838" s="559"/>
      <c r="I4838" s="559"/>
      <c r="J4838" s="559"/>
      <c r="K4838" s="560"/>
      <c r="L4838" s="560"/>
      <c r="M4838" s="560"/>
    </row>
    <row r="4839" spans="3:13" s="338" customFormat="1">
      <c r="C4839" s="558"/>
      <c r="D4839" s="559"/>
      <c r="E4839" s="559"/>
      <c r="F4839" s="559"/>
      <c r="G4839" s="558"/>
      <c r="H4839" s="559"/>
      <c r="I4839" s="559"/>
      <c r="J4839" s="559"/>
      <c r="K4839" s="560"/>
      <c r="L4839" s="560"/>
      <c r="M4839" s="560"/>
    </row>
    <row r="4840" spans="3:13" s="338" customFormat="1">
      <c r="C4840" s="558"/>
      <c r="D4840" s="559"/>
      <c r="E4840" s="559"/>
      <c r="F4840" s="559"/>
      <c r="G4840" s="558"/>
      <c r="H4840" s="559"/>
      <c r="I4840" s="559"/>
      <c r="J4840" s="559"/>
      <c r="K4840" s="560"/>
      <c r="L4840" s="560"/>
      <c r="M4840" s="560"/>
    </row>
    <row r="4841" spans="3:13" s="338" customFormat="1">
      <c r="C4841" s="558"/>
      <c r="D4841" s="559"/>
      <c r="E4841" s="559"/>
      <c r="F4841" s="559"/>
      <c r="G4841" s="558"/>
      <c r="H4841" s="559"/>
      <c r="I4841" s="559"/>
      <c r="J4841" s="559"/>
      <c r="K4841" s="560"/>
      <c r="L4841" s="560"/>
      <c r="M4841" s="560"/>
    </row>
    <row r="4842" spans="3:13" s="338" customFormat="1">
      <c r="C4842" s="558"/>
      <c r="D4842" s="559"/>
      <c r="E4842" s="559"/>
      <c r="F4842" s="559"/>
      <c r="G4842" s="558"/>
      <c r="H4842" s="559"/>
      <c r="I4842" s="559"/>
      <c r="J4842" s="559"/>
      <c r="K4842" s="560"/>
      <c r="L4842" s="560"/>
      <c r="M4842" s="560"/>
    </row>
    <row r="4843" spans="3:13" s="338" customFormat="1">
      <c r="C4843" s="558"/>
      <c r="D4843" s="559"/>
      <c r="E4843" s="559"/>
      <c r="F4843" s="559"/>
      <c r="G4843" s="558"/>
      <c r="H4843" s="559"/>
      <c r="I4843" s="559"/>
      <c r="J4843" s="559"/>
      <c r="K4843" s="560"/>
      <c r="L4843" s="560"/>
      <c r="M4843" s="560"/>
    </row>
    <row r="4844" spans="3:13" s="338" customFormat="1">
      <c r="C4844" s="558"/>
      <c r="D4844" s="559"/>
      <c r="E4844" s="559"/>
      <c r="F4844" s="559"/>
      <c r="G4844" s="558"/>
      <c r="H4844" s="559"/>
      <c r="I4844" s="559"/>
      <c r="J4844" s="559"/>
      <c r="K4844" s="560"/>
      <c r="L4844" s="560"/>
      <c r="M4844" s="560"/>
    </row>
    <row r="4845" spans="3:13" s="338" customFormat="1">
      <c r="C4845" s="558"/>
      <c r="D4845" s="559"/>
      <c r="E4845" s="559"/>
      <c r="F4845" s="559"/>
      <c r="G4845" s="558"/>
      <c r="H4845" s="559"/>
      <c r="I4845" s="559"/>
      <c r="J4845" s="559"/>
      <c r="K4845" s="560"/>
      <c r="L4845" s="560"/>
      <c r="M4845" s="560"/>
    </row>
    <row r="4846" spans="3:13" s="338" customFormat="1">
      <c r="C4846" s="558"/>
      <c r="D4846" s="559"/>
      <c r="E4846" s="559"/>
      <c r="F4846" s="559"/>
      <c r="G4846" s="558"/>
      <c r="H4846" s="559"/>
      <c r="I4846" s="559"/>
      <c r="J4846" s="559"/>
      <c r="K4846" s="560"/>
      <c r="L4846" s="560"/>
      <c r="M4846" s="560"/>
    </row>
    <row r="4847" spans="3:13" s="338" customFormat="1">
      <c r="C4847" s="558"/>
      <c r="D4847" s="559"/>
      <c r="E4847" s="559"/>
      <c r="F4847" s="559"/>
      <c r="G4847" s="558"/>
      <c r="H4847" s="559"/>
      <c r="I4847" s="559"/>
      <c r="J4847" s="559"/>
      <c r="K4847" s="560"/>
      <c r="L4847" s="560"/>
      <c r="M4847" s="560"/>
    </row>
    <row r="4848" spans="3:13" s="338" customFormat="1">
      <c r="C4848" s="558"/>
      <c r="D4848" s="559"/>
      <c r="E4848" s="559"/>
      <c r="F4848" s="559"/>
      <c r="G4848" s="558"/>
      <c r="H4848" s="559"/>
      <c r="I4848" s="559"/>
      <c r="J4848" s="559"/>
      <c r="K4848" s="560"/>
      <c r="L4848" s="560"/>
      <c r="M4848" s="560"/>
    </row>
    <row r="4849" spans="3:13" s="338" customFormat="1">
      <c r="C4849" s="558"/>
      <c r="D4849" s="559"/>
      <c r="E4849" s="559"/>
      <c r="F4849" s="559"/>
      <c r="G4849" s="558"/>
      <c r="H4849" s="559"/>
      <c r="I4849" s="559"/>
      <c r="J4849" s="559"/>
      <c r="K4849" s="560"/>
      <c r="L4849" s="560"/>
      <c r="M4849" s="560"/>
    </row>
    <row r="4850" spans="3:13" s="338" customFormat="1">
      <c r="C4850" s="558"/>
      <c r="D4850" s="559"/>
      <c r="E4850" s="559"/>
      <c r="F4850" s="559"/>
      <c r="G4850" s="558"/>
      <c r="H4850" s="559"/>
      <c r="I4850" s="559"/>
      <c r="J4850" s="559"/>
      <c r="K4850" s="560"/>
      <c r="L4850" s="560"/>
      <c r="M4850" s="560"/>
    </row>
    <row r="4851" spans="3:13" s="338" customFormat="1">
      <c r="C4851" s="558"/>
      <c r="D4851" s="559"/>
      <c r="E4851" s="559"/>
      <c r="F4851" s="559"/>
      <c r="G4851" s="558"/>
      <c r="H4851" s="559"/>
      <c r="I4851" s="559"/>
      <c r="J4851" s="559"/>
      <c r="K4851" s="560"/>
      <c r="L4851" s="560"/>
      <c r="M4851" s="560"/>
    </row>
    <row r="4852" spans="3:13" s="338" customFormat="1">
      <c r="C4852" s="558"/>
      <c r="D4852" s="559"/>
      <c r="E4852" s="559"/>
      <c r="F4852" s="559"/>
      <c r="G4852" s="558"/>
      <c r="H4852" s="559"/>
      <c r="I4852" s="559"/>
      <c r="J4852" s="559"/>
      <c r="K4852" s="560"/>
      <c r="L4852" s="560"/>
      <c r="M4852" s="560"/>
    </row>
    <row r="4853" spans="3:13" s="338" customFormat="1">
      <c r="C4853" s="558"/>
      <c r="D4853" s="559"/>
      <c r="E4853" s="559"/>
      <c r="F4853" s="559"/>
      <c r="G4853" s="558"/>
      <c r="H4853" s="559"/>
      <c r="I4853" s="559"/>
      <c r="J4853" s="559"/>
      <c r="K4853" s="560"/>
      <c r="L4853" s="560"/>
      <c r="M4853" s="560"/>
    </row>
    <row r="4854" spans="3:13" s="338" customFormat="1">
      <c r="C4854" s="558"/>
      <c r="D4854" s="559"/>
      <c r="E4854" s="559"/>
      <c r="F4854" s="559"/>
      <c r="G4854" s="558"/>
      <c r="H4854" s="559"/>
      <c r="I4854" s="559"/>
      <c r="J4854" s="559"/>
      <c r="K4854" s="560"/>
      <c r="L4854" s="560"/>
      <c r="M4854" s="560"/>
    </row>
    <row r="4855" spans="3:13" s="338" customFormat="1">
      <c r="C4855" s="558"/>
      <c r="D4855" s="559"/>
      <c r="E4855" s="559"/>
      <c r="F4855" s="559"/>
      <c r="G4855" s="558"/>
      <c r="H4855" s="559"/>
      <c r="I4855" s="559"/>
      <c r="J4855" s="559"/>
      <c r="K4855" s="560"/>
      <c r="L4855" s="560"/>
      <c r="M4855" s="560"/>
    </row>
    <row r="4856" spans="3:13" s="338" customFormat="1">
      <c r="C4856" s="558"/>
      <c r="D4856" s="559"/>
      <c r="E4856" s="559"/>
      <c r="F4856" s="559"/>
      <c r="G4856" s="558"/>
      <c r="H4856" s="559"/>
      <c r="I4856" s="559"/>
      <c r="J4856" s="559"/>
      <c r="K4856" s="560"/>
      <c r="L4856" s="560"/>
      <c r="M4856" s="560"/>
    </row>
    <row r="4857" spans="3:13" s="338" customFormat="1">
      <c r="C4857" s="558"/>
      <c r="D4857" s="559"/>
      <c r="E4857" s="559"/>
      <c r="F4857" s="559"/>
      <c r="G4857" s="558"/>
      <c r="H4857" s="559"/>
      <c r="I4857" s="559"/>
      <c r="J4857" s="559"/>
      <c r="K4857" s="560"/>
      <c r="L4857" s="560"/>
      <c r="M4857" s="560"/>
    </row>
    <row r="4858" spans="3:13" s="338" customFormat="1">
      <c r="C4858" s="558"/>
      <c r="D4858" s="559"/>
      <c r="E4858" s="559"/>
      <c r="F4858" s="559"/>
      <c r="G4858" s="558"/>
      <c r="H4858" s="559"/>
      <c r="I4858" s="559"/>
      <c r="J4858" s="559"/>
      <c r="K4858" s="560"/>
      <c r="L4858" s="560"/>
      <c r="M4858" s="560"/>
    </row>
    <row r="4859" spans="3:13" s="338" customFormat="1">
      <c r="C4859" s="558"/>
      <c r="D4859" s="559"/>
      <c r="E4859" s="559"/>
      <c r="F4859" s="559"/>
      <c r="G4859" s="558"/>
      <c r="H4859" s="559"/>
      <c r="I4859" s="559"/>
      <c r="J4859" s="559"/>
      <c r="K4859" s="560"/>
      <c r="L4859" s="560"/>
      <c r="M4859" s="560"/>
    </row>
    <row r="4860" spans="3:13" s="338" customFormat="1">
      <c r="C4860" s="558"/>
      <c r="D4860" s="559"/>
      <c r="E4860" s="559"/>
      <c r="F4860" s="559"/>
      <c r="G4860" s="558"/>
      <c r="H4860" s="559"/>
      <c r="I4860" s="559"/>
      <c r="J4860" s="559"/>
      <c r="K4860" s="560"/>
      <c r="L4860" s="560"/>
      <c r="M4860" s="560"/>
    </row>
    <row r="4861" spans="3:13" s="338" customFormat="1">
      <c r="C4861" s="558"/>
      <c r="D4861" s="559"/>
      <c r="E4861" s="559"/>
      <c r="F4861" s="559"/>
      <c r="G4861" s="558"/>
      <c r="H4861" s="559"/>
      <c r="I4861" s="559"/>
      <c r="J4861" s="559"/>
      <c r="K4861" s="560"/>
      <c r="L4861" s="560"/>
      <c r="M4861" s="560"/>
    </row>
    <row r="4862" spans="3:13" s="338" customFormat="1">
      <c r="C4862" s="558"/>
      <c r="D4862" s="559"/>
      <c r="E4862" s="559"/>
      <c r="F4862" s="559"/>
      <c r="G4862" s="558"/>
      <c r="H4862" s="559"/>
      <c r="I4862" s="559"/>
      <c r="J4862" s="559"/>
      <c r="K4862" s="560"/>
      <c r="L4862" s="560"/>
      <c r="M4862" s="560"/>
    </row>
    <row r="4863" spans="3:13" s="338" customFormat="1">
      <c r="C4863" s="558"/>
      <c r="D4863" s="559"/>
      <c r="E4863" s="559"/>
      <c r="F4863" s="559"/>
      <c r="G4863" s="558"/>
      <c r="H4863" s="559"/>
      <c r="I4863" s="559"/>
      <c r="J4863" s="559"/>
      <c r="K4863" s="560"/>
      <c r="L4863" s="560"/>
      <c r="M4863" s="560"/>
    </row>
    <row r="4864" spans="3:13" s="338" customFormat="1">
      <c r="C4864" s="558"/>
      <c r="D4864" s="559"/>
      <c r="E4864" s="559"/>
      <c r="F4864" s="559"/>
      <c r="G4864" s="558"/>
      <c r="H4864" s="559"/>
      <c r="I4864" s="559"/>
      <c r="J4864" s="559"/>
      <c r="K4864" s="560"/>
      <c r="L4864" s="560"/>
      <c r="M4864" s="560"/>
    </row>
    <row r="4865" spans="3:13" s="338" customFormat="1">
      <c r="C4865" s="558"/>
      <c r="D4865" s="559"/>
      <c r="E4865" s="559"/>
      <c r="F4865" s="559"/>
      <c r="G4865" s="558"/>
      <c r="H4865" s="559"/>
      <c r="I4865" s="559"/>
      <c r="J4865" s="559"/>
      <c r="K4865" s="560"/>
      <c r="L4865" s="560"/>
      <c r="M4865" s="560"/>
    </row>
    <row r="4866" spans="3:13" s="338" customFormat="1">
      <c r="C4866" s="558"/>
      <c r="D4866" s="559"/>
      <c r="E4866" s="559"/>
      <c r="F4866" s="559"/>
      <c r="G4866" s="558"/>
      <c r="H4866" s="559"/>
      <c r="I4866" s="559"/>
      <c r="J4866" s="559"/>
      <c r="K4866" s="560"/>
      <c r="L4866" s="560"/>
      <c r="M4866" s="560"/>
    </row>
    <row r="4867" spans="3:13" s="338" customFormat="1">
      <c r="C4867" s="558"/>
      <c r="D4867" s="559"/>
      <c r="E4867" s="559"/>
      <c r="F4867" s="559"/>
      <c r="G4867" s="558"/>
      <c r="H4867" s="559"/>
      <c r="I4867" s="559"/>
      <c r="J4867" s="559"/>
      <c r="K4867" s="560"/>
      <c r="L4867" s="560"/>
      <c r="M4867" s="560"/>
    </row>
    <row r="4868" spans="3:13" s="338" customFormat="1">
      <c r="C4868" s="558"/>
      <c r="D4868" s="559"/>
      <c r="E4868" s="559"/>
      <c r="F4868" s="559"/>
      <c r="G4868" s="558"/>
      <c r="H4868" s="559"/>
      <c r="I4868" s="559"/>
      <c r="J4868" s="559"/>
      <c r="K4868" s="560"/>
      <c r="L4868" s="560"/>
      <c r="M4868" s="560"/>
    </row>
    <row r="4869" spans="3:13" s="338" customFormat="1">
      <c r="C4869" s="558"/>
      <c r="D4869" s="559"/>
      <c r="E4869" s="559"/>
      <c r="F4869" s="559"/>
      <c r="G4869" s="558"/>
      <c r="H4869" s="559"/>
      <c r="I4869" s="559"/>
      <c r="J4869" s="559"/>
      <c r="K4869" s="560"/>
      <c r="L4869" s="560"/>
      <c r="M4869" s="560"/>
    </row>
    <row r="4870" spans="3:13" s="338" customFormat="1">
      <c r="C4870" s="558"/>
      <c r="D4870" s="559"/>
      <c r="E4870" s="559"/>
      <c r="F4870" s="559"/>
      <c r="G4870" s="558"/>
      <c r="H4870" s="559"/>
      <c r="I4870" s="559"/>
      <c r="J4870" s="559"/>
      <c r="K4870" s="560"/>
      <c r="L4870" s="560"/>
      <c r="M4870" s="560"/>
    </row>
    <row r="4871" spans="3:13" s="338" customFormat="1">
      <c r="C4871" s="558"/>
      <c r="D4871" s="559"/>
      <c r="E4871" s="559"/>
      <c r="F4871" s="559"/>
      <c r="G4871" s="558"/>
      <c r="H4871" s="559"/>
      <c r="I4871" s="559"/>
      <c r="J4871" s="559"/>
      <c r="K4871" s="560"/>
      <c r="L4871" s="560"/>
      <c r="M4871" s="560"/>
    </row>
    <row r="4872" spans="3:13" s="338" customFormat="1">
      <c r="C4872" s="558"/>
      <c r="D4872" s="559"/>
      <c r="E4872" s="559"/>
      <c r="F4872" s="559"/>
      <c r="G4872" s="558"/>
      <c r="H4872" s="559"/>
      <c r="I4872" s="559"/>
      <c r="J4872" s="559"/>
      <c r="K4872" s="560"/>
      <c r="L4872" s="560"/>
      <c r="M4872" s="560"/>
    </row>
    <row r="4873" spans="3:13" s="338" customFormat="1">
      <c r="C4873" s="558"/>
      <c r="D4873" s="559"/>
      <c r="E4873" s="559"/>
      <c r="F4873" s="559"/>
      <c r="G4873" s="558"/>
      <c r="H4873" s="559"/>
      <c r="I4873" s="559"/>
      <c r="J4873" s="559"/>
      <c r="K4873" s="560"/>
      <c r="L4873" s="560"/>
      <c r="M4873" s="560"/>
    </row>
    <row r="4874" spans="3:13" s="338" customFormat="1">
      <c r="C4874" s="558"/>
      <c r="D4874" s="559"/>
      <c r="E4874" s="559"/>
      <c r="F4874" s="559"/>
      <c r="G4874" s="558"/>
      <c r="H4874" s="559"/>
      <c r="I4874" s="559"/>
      <c r="J4874" s="559"/>
      <c r="K4874" s="560"/>
      <c r="L4874" s="560"/>
      <c r="M4874" s="560"/>
    </row>
    <row r="4875" spans="3:13" s="338" customFormat="1">
      <c r="C4875" s="558"/>
      <c r="D4875" s="559"/>
      <c r="E4875" s="559"/>
      <c r="F4875" s="559"/>
      <c r="G4875" s="558"/>
      <c r="H4875" s="559"/>
      <c r="I4875" s="559"/>
      <c r="J4875" s="559"/>
      <c r="K4875" s="560"/>
      <c r="L4875" s="560"/>
      <c r="M4875" s="560"/>
    </row>
    <row r="4876" spans="3:13" s="338" customFormat="1">
      <c r="C4876" s="558"/>
      <c r="D4876" s="559"/>
      <c r="E4876" s="559"/>
      <c r="F4876" s="559"/>
      <c r="G4876" s="558"/>
      <c r="H4876" s="559"/>
      <c r="I4876" s="559"/>
      <c r="J4876" s="559"/>
      <c r="K4876" s="560"/>
      <c r="L4876" s="560"/>
      <c r="M4876" s="560"/>
    </row>
    <row r="4877" spans="3:13" s="338" customFormat="1">
      <c r="C4877" s="558"/>
      <c r="D4877" s="559"/>
      <c r="E4877" s="559"/>
      <c r="F4877" s="559"/>
      <c r="G4877" s="558"/>
      <c r="H4877" s="559"/>
      <c r="I4877" s="559"/>
      <c r="J4877" s="559"/>
      <c r="K4877" s="560"/>
      <c r="L4877" s="560"/>
      <c r="M4877" s="560"/>
    </row>
    <row r="4878" spans="3:13" s="338" customFormat="1">
      <c r="C4878" s="558"/>
      <c r="D4878" s="559"/>
      <c r="E4878" s="559"/>
      <c r="F4878" s="559"/>
      <c r="G4878" s="558"/>
      <c r="H4878" s="559"/>
      <c r="I4878" s="559"/>
      <c r="J4878" s="559"/>
      <c r="K4878" s="560"/>
      <c r="L4878" s="560"/>
      <c r="M4878" s="560"/>
    </row>
    <row r="4879" spans="3:13" s="338" customFormat="1">
      <c r="C4879" s="558"/>
      <c r="D4879" s="559"/>
      <c r="E4879" s="559"/>
      <c r="F4879" s="559"/>
      <c r="G4879" s="558"/>
      <c r="H4879" s="559"/>
      <c r="I4879" s="559"/>
      <c r="J4879" s="559"/>
      <c r="K4879" s="560"/>
      <c r="L4879" s="560"/>
      <c r="M4879" s="560"/>
    </row>
    <row r="4880" spans="3:13" s="338" customFormat="1">
      <c r="C4880" s="558"/>
      <c r="D4880" s="559"/>
      <c r="E4880" s="559"/>
      <c r="F4880" s="559"/>
      <c r="G4880" s="558"/>
      <c r="H4880" s="559"/>
      <c r="I4880" s="559"/>
      <c r="J4880" s="559"/>
      <c r="K4880" s="560"/>
      <c r="L4880" s="560"/>
      <c r="M4880" s="560"/>
    </row>
    <row r="4881" spans="3:13" s="338" customFormat="1">
      <c r="C4881" s="558"/>
      <c r="D4881" s="559"/>
      <c r="E4881" s="559"/>
      <c r="F4881" s="559"/>
      <c r="G4881" s="558"/>
      <c r="H4881" s="559"/>
      <c r="I4881" s="559"/>
      <c r="J4881" s="559"/>
      <c r="K4881" s="560"/>
      <c r="L4881" s="560"/>
      <c r="M4881" s="560"/>
    </row>
    <row r="4882" spans="3:13" s="338" customFormat="1">
      <c r="C4882" s="558"/>
      <c r="D4882" s="559"/>
      <c r="E4882" s="559"/>
      <c r="F4882" s="559"/>
      <c r="G4882" s="558"/>
      <c r="H4882" s="559"/>
      <c r="I4882" s="559"/>
      <c r="J4882" s="559"/>
      <c r="K4882" s="560"/>
      <c r="L4882" s="560"/>
      <c r="M4882" s="560"/>
    </row>
    <row r="4883" spans="3:13" s="338" customFormat="1">
      <c r="C4883" s="558"/>
      <c r="D4883" s="559"/>
      <c r="E4883" s="559"/>
      <c r="F4883" s="559"/>
      <c r="G4883" s="558"/>
      <c r="H4883" s="559"/>
      <c r="I4883" s="559"/>
      <c r="J4883" s="559"/>
      <c r="K4883" s="560"/>
      <c r="L4883" s="560"/>
      <c r="M4883" s="560"/>
    </row>
    <row r="4884" spans="3:13" s="338" customFormat="1">
      <c r="C4884" s="558"/>
      <c r="D4884" s="559"/>
      <c r="E4884" s="559"/>
      <c r="F4884" s="559"/>
      <c r="G4884" s="558"/>
      <c r="H4884" s="559"/>
      <c r="I4884" s="559"/>
      <c r="J4884" s="559"/>
      <c r="K4884" s="560"/>
      <c r="L4884" s="560"/>
      <c r="M4884" s="560"/>
    </row>
    <row r="4885" spans="3:13" s="338" customFormat="1">
      <c r="C4885" s="558"/>
      <c r="D4885" s="559"/>
      <c r="E4885" s="559"/>
      <c r="F4885" s="559"/>
      <c r="G4885" s="558"/>
      <c r="H4885" s="559"/>
      <c r="I4885" s="559"/>
      <c r="J4885" s="559"/>
      <c r="K4885" s="560"/>
      <c r="L4885" s="560"/>
      <c r="M4885" s="560"/>
    </row>
    <row r="4886" spans="3:13" s="338" customFormat="1">
      <c r="C4886" s="558"/>
      <c r="D4886" s="559"/>
      <c r="E4886" s="559"/>
      <c r="F4886" s="559"/>
      <c r="G4886" s="558"/>
      <c r="H4886" s="559"/>
      <c r="I4886" s="559"/>
      <c r="J4886" s="559"/>
      <c r="K4886" s="560"/>
      <c r="L4886" s="560"/>
      <c r="M4886" s="560"/>
    </row>
    <row r="4887" spans="3:13" s="338" customFormat="1">
      <c r="C4887" s="558"/>
      <c r="D4887" s="559"/>
      <c r="E4887" s="559"/>
      <c r="F4887" s="559"/>
      <c r="G4887" s="558"/>
      <c r="H4887" s="559"/>
      <c r="I4887" s="559"/>
      <c r="J4887" s="559"/>
      <c r="K4887" s="560"/>
      <c r="L4887" s="560"/>
      <c r="M4887" s="560"/>
    </row>
    <row r="4888" spans="3:13" s="338" customFormat="1">
      <c r="C4888" s="558"/>
      <c r="D4888" s="559"/>
      <c r="E4888" s="559"/>
      <c r="F4888" s="559"/>
      <c r="G4888" s="558"/>
      <c r="H4888" s="559"/>
      <c r="I4888" s="559"/>
      <c r="J4888" s="559"/>
      <c r="K4888" s="560"/>
      <c r="L4888" s="560"/>
      <c r="M4888" s="560"/>
    </row>
    <row r="4889" spans="3:13" s="338" customFormat="1">
      <c r="C4889" s="558"/>
      <c r="D4889" s="559"/>
      <c r="E4889" s="559"/>
      <c r="F4889" s="559"/>
      <c r="G4889" s="558"/>
      <c r="H4889" s="559"/>
      <c r="I4889" s="559"/>
      <c r="J4889" s="559"/>
      <c r="K4889" s="560"/>
      <c r="L4889" s="560"/>
      <c r="M4889" s="560"/>
    </row>
    <row r="4890" spans="3:13" s="338" customFormat="1">
      <c r="C4890" s="558"/>
      <c r="D4890" s="559"/>
      <c r="E4890" s="559"/>
      <c r="F4890" s="559"/>
      <c r="G4890" s="558"/>
      <c r="H4890" s="559"/>
      <c r="I4890" s="559"/>
      <c r="J4890" s="559"/>
      <c r="K4890" s="560"/>
      <c r="L4890" s="560"/>
      <c r="M4890" s="560"/>
    </row>
    <row r="4891" spans="3:13" s="338" customFormat="1">
      <c r="C4891" s="558"/>
      <c r="D4891" s="559"/>
      <c r="E4891" s="559"/>
      <c r="F4891" s="559"/>
      <c r="G4891" s="558"/>
      <c r="H4891" s="559"/>
      <c r="I4891" s="559"/>
      <c r="J4891" s="559"/>
      <c r="K4891" s="560"/>
      <c r="L4891" s="560"/>
      <c r="M4891" s="560"/>
    </row>
    <row r="4892" spans="3:13" s="338" customFormat="1">
      <c r="C4892" s="558"/>
      <c r="D4892" s="559"/>
      <c r="E4892" s="559"/>
      <c r="F4892" s="559"/>
      <c r="G4892" s="558"/>
      <c r="H4892" s="559"/>
      <c r="I4892" s="559"/>
      <c r="J4892" s="559"/>
      <c r="K4892" s="560"/>
      <c r="L4892" s="560"/>
      <c r="M4892" s="560"/>
    </row>
    <row r="4893" spans="3:13" s="338" customFormat="1">
      <c r="C4893" s="558"/>
      <c r="D4893" s="559"/>
      <c r="E4893" s="559"/>
      <c r="F4893" s="559"/>
      <c r="G4893" s="558"/>
      <c r="H4893" s="559"/>
      <c r="I4893" s="559"/>
      <c r="J4893" s="559"/>
      <c r="K4893" s="560"/>
      <c r="L4893" s="560"/>
      <c r="M4893" s="560"/>
    </row>
    <row r="4894" spans="3:13" s="338" customFormat="1">
      <c r="C4894" s="558"/>
      <c r="D4894" s="559"/>
      <c r="E4894" s="559"/>
      <c r="F4894" s="559"/>
      <c r="G4894" s="558"/>
      <c r="H4894" s="559"/>
      <c r="I4894" s="559"/>
      <c r="J4894" s="559"/>
      <c r="K4894" s="560"/>
      <c r="L4894" s="560"/>
      <c r="M4894" s="560"/>
    </row>
    <row r="4895" spans="3:13" s="338" customFormat="1">
      <c r="C4895" s="558"/>
      <c r="D4895" s="559"/>
      <c r="E4895" s="559"/>
      <c r="F4895" s="559"/>
      <c r="G4895" s="558"/>
      <c r="H4895" s="559"/>
      <c r="I4895" s="559"/>
      <c r="J4895" s="559"/>
      <c r="K4895" s="560"/>
      <c r="L4895" s="560"/>
      <c r="M4895" s="560"/>
    </row>
    <row r="4896" spans="3:13" s="338" customFormat="1">
      <c r="C4896" s="558"/>
      <c r="D4896" s="559"/>
      <c r="E4896" s="559"/>
      <c r="F4896" s="559"/>
      <c r="G4896" s="558"/>
      <c r="H4896" s="559"/>
      <c r="I4896" s="559"/>
      <c r="J4896" s="559"/>
      <c r="K4896" s="560"/>
      <c r="L4896" s="560"/>
      <c r="M4896" s="560"/>
    </row>
    <row r="4897" spans="3:13" s="338" customFormat="1">
      <c r="C4897" s="558"/>
      <c r="D4897" s="559"/>
      <c r="E4897" s="559"/>
      <c r="F4897" s="559"/>
      <c r="G4897" s="558"/>
      <c r="H4897" s="559"/>
      <c r="I4897" s="559"/>
      <c r="J4897" s="559"/>
      <c r="K4897" s="560"/>
      <c r="L4897" s="560"/>
      <c r="M4897" s="560"/>
    </row>
    <row r="4898" spans="3:13" s="338" customFormat="1">
      <c r="C4898" s="558"/>
      <c r="D4898" s="559"/>
      <c r="E4898" s="559"/>
      <c r="F4898" s="559"/>
      <c r="G4898" s="558"/>
      <c r="H4898" s="559"/>
      <c r="I4898" s="559"/>
      <c r="J4898" s="559"/>
      <c r="K4898" s="560"/>
      <c r="L4898" s="560"/>
      <c r="M4898" s="560"/>
    </row>
    <row r="4899" spans="3:13" s="338" customFormat="1">
      <c r="C4899" s="558"/>
      <c r="D4899" s="559"/>
      <c r="E4899" s="559"/>
      <c r="F4899" s="559"/>
      <c r="G4899" s="558"/>
      <c r="H4899" s="559"/>
      <c r="I4899" s="559"/>
      <c r="J4899" s="559"/>
      <c r="K4899" s="560"/>
      <c r="L4899" s="560"/>
      <c r="M4899" s="560"/>
    </row>
    <row r="4900" spans="3:13" s="338" customFormat="1">
      <c r="C4900" s="558"/>
      <c r="D4900" s="559"/>
      <c r="E4900" s="559"/>
      <c r="F4900" s="559"/>
      <c r="G4900" s="558"/>
      <c r="H4900" s="559"/>
      <c r="I4900" s="559"/>
      <c r="J4900" s="559"/>
      <c r="K4900" s="560"/>
      <c r="L4900" s="560"/>
      <c r="M4900" s="560"/>
    </row>
    <row r="4901" spans="3:13" s="338" customFormat="1">
      <c r="C4901" s="558"/>
      <c r="D4901" s="559"/>
      <c r="E4901" s="559"/>
      <c r="F4901" s="559"/>
      <c r="G4901" s="558"/>
      <c r="H4901" s="559"/>
      <c r="I4901" s="559"/>
      <c r="J4901" s="559"/>
      <c r="K4901" s="560"/>
      <c r="L4901" s="560"/>
      <c r="M4901" s="560"/>
    </row>
    <row r="4902" spans="3:13" s="338" customFormat="1">
      <c r="C4902" s="558"/>
      <c r="D4902" s="559"/>
      <c r="E4902" s="559"/>
      <c r="F4902" s="559"/>
      <c r="G4902" s="558"/>
      <c r="H4902" s="559"/>
      <c r="I4902" s="559"/>
      <c r="J4902" s="559"/>
      <c r="K4902" s="560"/>
      <c r="L4902" s="560"/>
      <c r="M4902" s="560"/>
    </row>
    <row r="4903" spans="3:13" s="338" customFormat="1">
      <c r="C4903" s="558"/>
      <c r="D4903" s="559"/>
      <c r="E4903" s="559"/>
      <c r="F4903" s="559"/>
      <c r="G4903" s="558"/>
      <c r="H4903" s="559"/>
      <c r="I4903" s="559"/>
      <c r="J4903" s="559"/>
      <c r="K4903" s="560"/>
      <c r="L4903" s="560"/>
      <c r="M4903" s="560"/>
    </row>
    <row r="4904" spans="3:13" s="338" customFormat="1">
      <c r="C4904" s="558"/>
      <c r="D4904" s="559"/>
      <c r="E4904" s="559"/>
      <c r="F4904" s="559"/>
      <c r="G4904" s="558"/>
      <c r="H4904" s="559"/>
      <c r="I4904" s="559"/>
      <c r="J4904" s="559"/>
      <c r="K4904" s="560"/>
      <c r="L4904" s="560"/>
      <c r="M4904" s="560"/>
    </row>
    <row r="4905" spans="3:13" s="338" customFormat="1">
      <c r="C4905" s="558"/>
      <c r="D4905" s="559"/>
      <c r="E4905" s="559"/>
      <c r="F4905" s="559"/>
      <c r="G4905" s="558"/>
      <c r="H4905" s="559"/>
      <c r="I4905" s="559"/>
      <c r="J4905" s="559"/>
      <c r="K4905" s="560"/>
      <c r="L4905" s="560"/>
      <c r="M4905" s="560"/>
    </row>
    <row r="4906" spans="3:13" s="338" customFormat="1">
      <c r="C4906" s="558"/>
      <c r="D4906" s="559"/>
      <c r="E4906" s="559"/>
      <c r="F4906" s="559"/>
      <c r="G4906" s="558"/>
      <c r="H4906" s="559"/>
      <c r="I4906" s="559"/>
      <c r="J4906" s="559"/>
      <c r="K4906" s="560"/>
      <c r="L4906" s="560"/>
      <c r="M4906" s="560"/>
    </row>
    <row r="4907" spans="3:13" s="338" customFormat="1">
      <c r="C4907" s="558"/>
      <c r="D4907" s="559"/>
      <c r="E4907" s="559"/>
      <c r="F4907" s="559"/>
      <c r="G4907" s="558"/>
      <c r="H4907" s="559"/>
      <c r="I4907" s="559"/>
      <c r="J4907" s="559"/>
      <c r="K4907" s="560"/>
      <c r="L4907" s="560"/>
      <c r="M4907" s="560"/>
    </row>
    <row r="4908" spans="3:13" s="338" customFormat="1">
      <c r="C4908" s="558"/>
      <c r="D4908" s="559"/>
      <c r="E4908" s="559"/>
      <c r="F4908" s="559"/>
      <c r="G4908" s="558"/>
      <c r="H4908" s="559"/>
      <c r="I4908" s="559"/>
      <c r="J4908" s="559"/>
      <c r="K4908" s="560"/>
      <c r="L4908" s="560"/>
      <c r="M4908" s="560"/>
    </row>
    <row r="4909" spans="3:13" s="338" customFormat="1">
      <c r="C4909" s="558"/>
      <c r="D4909" s="559"/>
      <c r="E4909" s="559"/>
      <c r="F4909" s="559"/>
      <c r="G4909" s="558"/>
      <c r="H4909" s="559"/>
      <c r="I4909" s="559"/>
      <c r="J4909" s="559"/>
      <c r="K4909" s="560"/>
      <c r="L4909" s="560"/>
      <c r="M4909" s="560"/>
    </row>
    <row r="4910" spans="3:13" s="338" customFormat="1">
      <c r="C4910" s="558"/>
      <c r="D4910" s="559"/>
      <c r="E4910" s="559"/>
      <c r="F4910" s="559"/>
      <c r="G4910" s="558"/>
      <c r="H4910" s="559"/>
      <c r="I4910" s="559"/>
      <c r="J4910" s="559"/>
      <c r="K4910" s="560"/>
      <c r="L4910" s="560"/>
      <c r="M4910" s="560"/>
    </row>
    <row r="4911" spans="3:13" s="338" customFormat="1">
      <c r="C4911" s="558"/>
      <c r="D4911" s="559"/>
      <c r="E4911" s="559"/>
      <c r="F4911" s="559"/>
      <c r="G4911" s="558"/>
      <c r="H4911" s="559"/>
      <c r="I4911" s="559"/>
      <c r="J4911" s="559"/>
      <c r="K4911" s="560"/>
      <c r="L4911" s="560"/>
      <c r="M4911" s="560"/>
    </row>
    <row r="4912" spans="3:13" s="338" customFormat="1">
      <c r="C4912" s="558"/>
      <c r="D4912" s="559"/>
      <c r="E4912" s="559"/>
      <c r="F4912" s="559"/>
      <c r="G4912" s="558"/>
      <c r="H4912" s="559"/>
      <c r="I4912" s="559"/>
      <c r="J4912" s="559"/>
      <c r="K4912" s="560"/>
      <c r="L4912" s="560"/>
      <c r="M4912" s="560"/>
    </row>
    <row r="4913" spans="3:13" s="338" customFormat="1">
      <c r="C4913" s="558"/>
      <c r="D4913" s="559"/>
      <c r="E4913" s="559"/>
      <c r="F4913" s="559"/>
      <c r="G4913" s="558"/>
      <c r="H4913" s="559"/>
      <c r="I4913" s="559"/>
      <c r="J4913" s="559"/>
      <c r="K4913" s="560"/>
      <c r="L4913" s="560"/>
      <c r="M4913" s="560"/>
    </row>
    <row r="4914" spans="3:13" s="338" customFormat="1">
      <c r="C4914" s="558"/>
      <c r="D4914" s="559"/>
      <c r="E4914" s="559"/>
      <c r="F4914" s="559"/>
      <c r="G4914" s="558"/>
      <c r="H4914" s="559"/>
      <c r="I4914" s="559"/>
      <c r="J4914" s="559"/>
      <c r="K4914" s="560"/>
      <c r="L4914" s="560"/>
      <c r="M4914" s="560"/>
    </row>
    <row r="4915" spans="3:13" s="338" customFormat="1">
      <c r="C4915" s="558"/>
      <c r="D4915" s="559"/>
      <c r="E4915" s="559"/>
      <c r="F4915" s="559"/>
      <c r="G4915" s="558"/>
      <c r="H4915" s="559"/>
      <c r="I4915" s="559"/>
      <c r="J4915" s="559"/>
      <c r="K4915" s="560"/>
      <c r="L4915" s="560"/>
      <c r="M4915" s="560"/>
    </row>
    <row r="4916" spans="3:13" s="338" customFormat="1">
      <c r="C4916" s="558"/>
      <c r="D4916" s="559"/>
      <c r="E4916" s="559"/>
      <c r="F4916" s="559"/>
      <c r="G4916" s="558"/>
      <c r="H4916" s="559"/>
      <c r="I4916" s="559"/>
      <c r="J4916" s="559"/>
      <c r="K4916" s="560"/>
      <c r="L4916" s="560"/>
      <c r="M4916" s="560"/>
    </row>
    <row r="4917" spans="3:13" s="338" customFormat="1">
      <c r="C4917" s="558"/>
      <c r="D4917" s="559"/>
      <c r="E4917" s="559"/>
      <c r="F4917" s="559"/>
      <c r="G4917" s="558"/>
      <c r="H4917" s="559"/>
      <c r="I4917" s="559"/>
      <c r="J4917" s="559"/>
      <c r="K4917" s="560"/>
      <c r="L4917" s="560"/>
      <c r="M4917" s="560"/>
    </row>
    <row r="4918" spans="3:13" s="338" customFormat="1">
      <c r="C4918" s="558"/>
      <c r="D4918" s="559"/>
      <c r="E4918" s="559"/>
      <c r="F4918" s="559"/>
      <c r="G4918" s="558"/>
      <c r="H4918" s="559"/>
      <c r="I4918" s="559"/>
      <c r="J4918" s="559"/>
      <c r="K4918" s="560"/>
      <c r="L4918" s="560"/>
      <c r="M4918" s="560"/>
    </row>
    <row r="4919" spans="3:13" s="338" customFormat="1">
      <c r="C4919" s="558"/>
      <c r="D4919" s="559"/>
      <c r="E4919" s="559"/>
      <c r="F4919" s="559"/>
      <c r="G4919" s="558"/>
      <c r="H4919" s="559"/>
      <c r="I4919" s="559"/>
      <c r="J4919" s="559"/>
      <c r="K4919" s="560"/>
      <c r="L4919" s="560"/>
      <c r="M4919" s="560"/>
    </row>
    <row r="4920" spans="3:13" s="338" customFormat="1">
      <c r="C4920" s="558"/>
      <c r="D4920" s="559"/>
      <c r="E4920" s="559"/>
      <c r="F4920" s="559"/>
      <c r="G4920" s="558"/>
      <c r="H4920" s="559"/>
      <c r="I4920" s="559"/>
      <c r="J4920" s="559"/>
      <c r="K4920" s="560"/>
      <c r="L4920" s="560"/>
      <c r="M4920" s="560"/>
    </row>
    <row r="4921" spans="3:13" s="338" customFormat="1">
      <c r="C4921" s="558"/>
      <c r="D4921" s="559"/>
      <c r="E4921" s="559"/>
      <c r="F4921" s="559"/>
      <c r="G4921" s="558"/>
      <c r="H4921" s="559"/>
      <c r="I4921" s="559"/>
      <c r="J4921" s="559"/>
      <c r="K4921" s="560"/>
      <c r="L4921" s="560"/>
      <c r="M4921" s="560"/>
    </row>
    <row r="4922" spans="3:13" s="338" customFormat="1">
      <c r="C4922" s="558"/>
      <c r="D4922" s="559"/>
      <c r="E4922" s="559"/>
      <c r="F4922" s="559"/>
      <c r="G4922" s="558"/>
      <c r="H4922" s="559"/>
      <c r="I4922" s="559"/>
      <c r="J4922" s="559"/>
      <c r="K4922" s="560"/>
      <c r="L4922" s="560"/>
      <c r="M4922" s="560"/>
    </row>
    <row r="4923" spans="3:13" s="338" customFormat="1">
      <c r="C4923" s="558"/>
      <c r="D4923" s="559"/>
      <c r="E4923" s="559"/>
      <c r="F4923" s="559"/>
      <c r="G4923" s="558"/>
      <c r="H4923" s="559"/>
      <c r="I4923" s="559"/>
      <c r="J4923" s="559"/>
      <c r="K4923" s="560"/>
      <c r="L4923" s="560"/>
      <c r="M4923" s="560"/>
    </row>
    <row r="4924" spans="3:13" s="338" customFormat="1">
      <c r="C4924" s="558"/>
      <c r="D4924" s="559"/>
      <c r="E4924" s="559"/>
      <c r="F4924" s="559"/>
      <c r="G4924" s="558"/>
      <c r="H4924" s="559"/>
      <c r="I4924" s="559"/>
      <c r="J4924" s="559"/>
      <c r="K4924" s="560"/>
      <c r="L4924" s="560"/>
      <c r="M4924" s="560"/>
    </row>
    <row r="4925" spans="3:13" s="338" customFormat="1">
      <c r="C4925" s="558"/>
      <c r="D4925" s="559"/>
      <c r="E4925" s="559"/>
      <c r="F4925" s="559"/>
      <c r="G4925" s="558"/>
      <c r="H4925" s="559"/>
      <c r="I4925" s="559"/>
      <c r="J4925" s="559"/>
      <c r="K4925" s="560"/>
      <c r="L4925" s="560"/>
      <c r="M4925" s="560"/>
    </row>
    <row r="4926" spans="3:13" s="338" customFormat="1">
      <c r="C4926" s="558"/>
      <c r="D4926" s="559"/>
      <c r="E4926" s="559"/>
      <c r="F4926" s="559"/>
      <c r="G4926" s="558"/>
      <c r="H4926" s="559"/>
      <c r="I4926" s="559"/>
      <c r="J4926" s="559"/>
      <c r="K4926" s="560"/>
      <c r="L4926" s="560"/>
      <c r="M4926" s="560"/>
    </row>
    <row r="4927" spans="3:13" s="338" customFormat="1">
      <c r="C4927" s="558"/>
      <c r="D4927" s="559"/>
      <c r="E4927" s="559"/>
      <c r="F4927" s="559"/>
      <c r="G4927" s="558"/>
      <c r="H4927" s="559"/>
      <c r="I4927" s="559"/>
      <c r="J4927" s="559"/>
      <c r="K4927" s="560"/>
      <c r="L4927" s="560"/>
      <c r="M4927" s="560"/>
    </row>
    <row r="4928" spans="3:13" s="338" customFormat="1">
      <c r="C4928" s="558"/>
      <c r="D4928" s="559"/>
      <c r="E4928" s="559"/>
      <c r="F4928" s="559"/>
      <c r="G4928" s="558"/>
      <c r="H4928" s="559"/>
      <c r="I4928" s="559"/>
      <c r="J4928" s="559"/>
      <c r="K4928" s="560"/>
      <c r="L4928" s="560"/>
      <c r="M4928" s="560"/>
    </row>
    <row r="4929" spans="3:13" s="338" customFormat="1">
      <c r="C4929" s="558"/>
      <c r="D4929" s="559"/>
      <c r="E4929" s="559"/>
      <c r="F4929" s="559"/>
      <c r="G4929" s="558"/>
      <c r="H4929" s="559"/>
      <c r="I4929" s="559"/>
      <c r="J4929" s="559"/>
      <c r="K4929" s="560"/>
      <c r="L4929" s="560"/>
      <c r="M4929" s="560"/>
    </row>
    <row r="4930" spans="3:13" s="338" customFormat="1">
      <c r="C4930" s="558"/>
      <c r="D4930" s="559"/>
      <c r="E4930" s="559"/>
      <c r="F4930" s="559"/>
      <c r="G4930" s="558"/>
      <c r="H4930" s="559"/>
      <c r="I4930" s="559"/>
      <c r="J4930" s="559"/>
      <c r="K4930" s="560"/>
      <c r="L4930" s="560"/>
      <c r="M4930" s="560"/>
    </row>
    <row r="4931" spans="3:13" s="338" customFormat="1">
      <c r="C4931" s="558"/>
      <c r="D4931" s="559"/>
      <c r="E4931" s="559"/>
      <c r="F4931" s="559"/>
      <c r="G4931" s="558"/>
      <c r="H4931" s="559"/>
      <c r="I4931" s="559"/>
      <c r="J4931" s="559"/>
      <c r="K4931" s="560"/>
      <c r="L4931" s="560"/>
      <c r="M4931" s="560"/>
    </row>
    <row r="4932" spans="3:13" s="338" customFormat="1">
      <c r="C4932" s="558"/>
      <c r="D4932" s="559"/>
      <c r="E4932" s="559"/>
      <c r="F4932" s="559"/>
      <c r="G4932" s="558"/>
      <c r="H4932" s="559"/>
      <c r="I4932" s="559"/>
      <c r="J4932" s="559"/>
      <c r="K4932" s="560"/>
      <c r="L4932" s="560"/>
      <c r="M4932" s="560"/>
    </row>
    <row r="4933" spans="3:13" s="338" customFormat="1">
      <c r="C4933" s="558"/>
      <c r="D4933" s="559"/>
      <c r="E4933" s="559"/>
      <c r="F4933" s="559"/>
      <c r="G4933" s="558"/>
      <c r="H4933" s="559"/>
      <c r="I4933" s="559"/>
      <c r="J4933" s="559"/>
      <c r="K4933" s="560"/>
      <c r="L4933" s="560"/>
      <c r="M4933" s="560"/>
    </row>
    <row r="4934" spans="3:13" s="338" customFormat="1">
      <c r="C4934" s="558"/>
      <c r="D4934" s="559"/>
      <c r="E4934" s="559"/>
      <c r="F4934" s="559"/>
      <c r="G4934" s="558"/>
      <c r="H4934" s="559"/>
      <c r="I4934" s="559"/>
      <c r="J4934" s="559"/>
      <c r="K4934" s="560"/>
      <c r="L4934" s="560"/>
      <c r="M4934" s="560"/>
    </row>
    <row r="4935" spans="3:13" s="338" customFormat="1">
      <c r="C4935" s="558"/>
      <c r="D4935" s="559"/>
      <c r="E4935" s="559"/>
      <c r="F4935" s="559"/>
      <c r="G4935" s="558"/>
      <c r="H4935" s="559"/>
      <c r="I4935" s="559"/>
      <c r="J4935" s="559"/>
      <c r="K4935" s="560"/>
      <c r="L4935" s="560"/>
      <c r="M4935" s="560"/>
    </row>
    <row r="4936" spans="3:13" s="338" customFormat="1">
      <c r="C4936" s="558"/>
      <c r="D4936" s="559"/>
      <c r="E4936" s="559"/>
      <c r="F4936" s="559"/>
      <c r="G4936" s="558"/>
      <c r="H4936" s="559"/>
      <c r="I4936" s="559"/>
      <c r="J4936" s="559"/>
      <c r="K4936" s="560"/>
      <c r="L4936" s="560"/>
      <c r="M4936" s="560"/>
    </row>
    <row r="4937" spans="3:13" s="338" customFormat="1">
      <c r="C4937" s="558"/>
      <c r="D4937" s="559"/>
      <c r="E4937" s="559"/>
      <c r="F4937" s="559"/>
      <c r="G4937" s="558"/>
      <c r="H4937" s="559"/>
      <c r="I4937" s="559"/>
      <c r="J4937" s="559"/>
      <c r="K4937" s="560"/>
      <c r="L4937" s="560"/>
      <c r="M4937" s="560"/>
    </row>
    <row r="4938" spans="3:13" s="338" customFormat="1">
      <c r="C4938" s="558"/>
      <c r="D4938" s="559"/>
      <c r="E4938" s="559"/>
      <c r="F4938" s="559"/>
      <c r="G4938" s="558"/>
      <c r="H4938" s="559"/>
      <c r="I4938" s="559"/>
      <c r="J4938" s="559"/>
      <c r="K4938" s="560"/>
      <c r="L4938" s="560"/>
      <c r="M4938" s="560"/>
    </row>
    <row r="4939" spans="3:13" s="338" customFormat="1">
      <c r="C4939" s="558"/>
      <c r="D4939" s="559"/>
      <c r="E4939" s="559"/>
      <c r="F4939" s="559"/>
      <c r="G4939" s="558"/>
      <c r="H4939" s="559"/>
      <c r="I4939" s="559"/>
      <c r="J4939" s="559"/>
      <c r="K4939" s="560"/>
      <c r="L4939" s="560"/>
      <c r="M4939" s="560"/>
    </row>
    <row r="4940" spans="3:13" s="338" customFormat="1">
      <c r="C4940" s="558"/>
      <c r="D4940" s="559"/>
      <c r="E4940" s="559"/>
      <c r="F4940" s="559"/>
      <c r="G4940" s="558"/>
      <c r="H4940" s="559"/>
      <c r="I4940" s="559"/>
      <c r="J4940" s="559"/>
      <c r="K4940" s="560"/>
      <c r="L4940" s="560"/>
      <c r="M4940" s="560"/>
    </row>
    <row r="4941" spans="3:13" s="338" customFormat="1">
      <c r="C4941" s="558"/>
      <c r="D4941" s="559"/>
      <c r="E4941" s="559"/>
      <c r="F4941" s="559"/>
      <c r="G4941" s="558"/>
      <c r="H4941" s="559"/>
      <c r="I4941" s="559"/>
      <c r="J4941" s="559"/>
      <c r="K4941" s="560"/>
      <c r="L4941" s="560"/>
      <c r="M4941" s="560"/>
    </row>
    <row r="4942" spans="3:13" s="338" customFormat="1">
      <c r="C4942" s="558"/>
      <c r="D4942" s="559"/>
      <c r="E4942" s="559"/>
      <c r="F4942" s="559"/>
      <c r="G4942" s="558"/>
      <c r="H4942" s="559"/>
      <c r="I4942" s="559"/>
      <c r="J4942" s="559"/>
      <c r="K4942" s="560"/>
      <c r="L4942" s="560"/>
      <c r="M4942" s="560"/>
    </row>
    <row r="4943" spans="3:13" s="338" customFormat="1">
      <c r="C4943" s="558"/>
      <c r="D4943" s="559"/>
      <c r="E4943" s="559"/>
      <c r="F4943" s="559"/>
      <c r="G4943" s="558"/>
      <c r="H4943" s="559"/>
      <c r="I4943" s="559"/>
      <c r="J4943" s="559"/>
      <c r="K4943" s="560"/>
      <c r="L4943" s="560"/>
      <c r="M4943" s="560"/>
    </row>
    <row r="4944" spans="3:13" s="338" customFormat="1">
      <c r="C4944" s="558"/>
      <c r="D4944" s="559"/>
      <c r="E4944" s="559"/>
      <c r="F4944" s="559"/>
      <c r="G4944" s="558"/>
      <c r="H4944" s="559"/>
      <c r="I4944" s="559"/>
      <c r="J4944" s="559"/>
      <c r="K4944" s="560"/>
      <c r="L4944" s="560"/>
      <c r="M4944" s="560"/>
    </row>
    <row r="4945" spans="3:13" s="338" customFormat="1">
      <c r="C4945" s="558"/>
      <c r="D4945" s="559"/>
      <c r="E4945" s="559"/>
      <c r="F4945" s="559"/>
      <c r="G4945" s="558"/>
      <c r="H4945" s="559"/>
      <c r="I4945" s="559"/>
      <c r="J4945" s="559"/>
      <c r="K4945" s="560"/>
      <c r="L4945" s="560"/>
      <c r="M4945" s="560"/>
    </row>
    <row r="4946" spans="3:13" s="338" customFormat="1">
      <c r="C4946" s="558"/>
      <c r="D4946" s="559"/>
      <c r="E4946" s="559"/>
      <c r="F4946" s="559"/>
      <c r="G4946" s="558"/>
      <c r="H4946" s="559"/>
      <c r="I4946" s="559"/>
      <c r="J4946" s="559"/>
      <c r="K4946" s="560"/>
      <c r="L4946" s="560"/>
      <c r="M4946" s="560"/>
    </row>
    <row r="4947" spans="3:13" s="338" customFormat="1">
      <c r="C4947" s="558"/>
      <c r="D4947" s="559"/>
      <c r="E4947" s="559"/>
      <c r="F4947" s="559"/>
      <c r="G4947" s="558"/>
      <c r="H4947" s="559"/>
      <c r="I4947" s="559"/>
      <c r="J4947" s="559"/>
      <c r="K4947" s="560"/>
      <c r="L4947" s="560"/>
      <c r="M4947" s="560"/>
    </row>
    <row r="4948" spans="3:13" s="338" customFormat="1">
      <c r="C4948" s="558"/>
      <c r="D4948" s="559"/>
      <c r="E4948" s="559"/>
      <c r="F4948" s="559"/>
      <c r="G4948" s="558"/>
      <c r="H4948" s="559"/>
      <c r="I4948" s="559"/>
      <c r="J4948" s="559"/>
      <c r="K4948" s="560"/>
      <c r="L4948" s="560"/>
      <c r="M4948" s="560"/>
    </row>
    <row r="4949" spans="3:13" s="338" customFormat="1">
      <c r="C4949" s="558"/>
      <c r="D4949" s="559"/>
      <c r="E4949" s="559"/>
      <c r="F4949" s="559"/>
      <c r="G4949" s="558"/>
      <c r="H4949" s="559"/>
      <c r="I4949" s="559"/>
      <c r="J4949" s="559"/>
      <c r="K4949" s="560"/>
      <c r="L4949" s="560"/>
      <c r="M4949" s="560"/>
    </row>
    <row r="4950" spans="3:13" s="338" customFormat="1">
      <c r="C4950" s="558"/>
      <c r="D4950" s="559"/>
      <c r="E4950" s="559"/>
      <c r="F4950" s="559"/>
      <c r="G4950" s="558"/>
      <c r="H4950" s="559"/>
      <c r="I4950" s="559"/>
      <c r="J4950" s="559"/>
      <c r="K4950" s="560"/>
      <c r="L4950" s="560"/>
      <c r="M4950" s="560"/>
    </row>
    <row r="4951" spans="3:13" s="338" customFormat="1">
      <c r="C4951" s="558"/>
      <c r="D4951" s="559"/>
      <c r="E4951" s="559"/>
      <c r="F4951" s="559"/>
      <c r="G4951" s="558"/>
      <c r="H4951" s="559"/>
      <c r="I4951" s="559"/>
      <c r="J4951" s="559"/>
      <c r="K4951" s="560"/>
      <c r="L4951" s="560"/>
      <c r="M4951" s="560"/>
    </row>
    <row r="4952" spans="3:13" s="338" customFormat="1">
      <c r="C4952" s="558"/>
      <c r="D4952" s="559"/>
      <c r="E4952" s="559"/>
      <c r="F4952" s="559"/>
      <c r="G4952" s="558"/>
      <c r="H4952" s="559"/>
      <c r="I4952" s="559"/>
      <c r="J4952" s="559"/>
      <c r="K4952" s="560"/>
      <c r="L4952" s="560"/>
      <c r="M4952" s="560"/>
    </row>
    <row r="4953" spans="3:13" s="338" customFormat="1">
      <c r="C4953" s="558"/>
      <c r="D4953" s="559"/>
      <c r="E4953" s="559"/>
      <c r="F4953" s="559"/>
      <c r="G4953" s="558"/>
      <c r="H4953" s="559"/>
      <c r="I4953" s="559"/>
      <c r="J4953" s="559"/>
      <c r="K4953" s="560"/>
      <c r="L4953" s="560"/>
      <c r="M4953" s="560"/>
    </row>
    <row r="4954" spans="3:13" s="338" customFormat="1">
      <c r="C4954" s="558"/>
      <c r="D4954" s="559"/>
      <c r="E4954" s="559"/>
      <c r="F4954" s="559"/>
      <c r="G4954" s="558"/>
      <c r="H4954" s="559"/>
      <c r="I4954" s="559"/>
      <c r="J4954" s="559"/>
      <c r="K4954" s="560"/>
      <c r="L4954" s="560"/>
      <c r="M4954" s="560"/>
    </row>
    <row r="4955" spans="3:13" s="338" customFormat="1">
      <c r="C4955" s="558"/>
      <c r="D4955" s="559"/>
      <c r="E4955" s="559"/>
      <c r="F4955" s="559"/>
      <c r="G4955" s="558"/>
      <c r="H4955" s="559"/>
      <c r="I4955" s="559"/>
      <c r="J4955" s="559"/>
      <c r="K4955" s="560"/>
      <c r="L4955" s="560"/>
      <c r="M4955" s="560"/>
    </row>
    <row r="4956" spans="3:13" s="338" customFormat="1">
      <c r="C4956" s="558"/>
      <c r="D4956" s="559"/>
      <c r="E4956" s="559"/>
      <c r="F4956" s="559"/>
      <c r="G4956" s="558"/>
      <c r="H4956" s="559"/>
      <c r="I4956" s="559"/>
      <c r="J4956" s="559"/>
      <c r="K4956" s="560"/>
      <c r="L4956" s="560"/>
      <c r="M4956" s="560"/>
    </row>
    <row r="4957" spans="3:13" s="338" customFormat="1">
      <c r="C4957" s="558"/>
      <c r="D4957" s="559"/>
      <c r="E4957" s="559"/>
      <c r="F4957" s="559"/>
      <c r="G4957" s="558"/>
      <c r="H4957" s="559"/>
      <c r="I4957" s="559"/>
      <c r="J4957" s="559"/>
      <c r="K4957" s="560"/>
      <c r="L4957" s="560"/>
      <c r="M4957" s="560"/>
    </row>
    <row r="4958" spans="3:13" s="338" customFormat="1">
      <c r="C4958" s="558"/>
      <c r="D4958" s="559"/>
      <c r="E4958" s="559"/>
      <c r="F4958" s="559"/>
      <c r="G4958" s="558"/>
      <c r="H4958" s="559"/>
      <c r="I4958" s="559"/>
      <c r="J4958" s="559"/>
      <c r="K4958" s="560"/>
      <c r="L4958" s="560"/>
      <c r="M4958" s="560"/>
    </row>
    <row r="4959" spans="3:13" s="338" customFormat="1">
      <c r="C4959" s="558"/>
      <c r="D4959" s="559"/>
      <c r="E4959" s="559"/>
      <c r="F4959" s="559"/>
      <c r="G4959" s="558"/>
      <c r="H4959" s="559"/>
      <c r="I4959" s="559"/>
      <c r="J4959" s="559"/>
      <c r="K4959" s="560"/>
      <c r="L4959" s="560"/>
      <c r="M4959" s="560"/>
    </row>
    <row r="4960" spans="3:13" s="338" customFormat="1">
      <c r="C4960" s="558"/>
      <c r="D4960" s="559"/>
      <c r="E4960" s="559"/>
      <c r="F4960" s="559"/>
      <c r="G4960" s="558"/>
      <c r="H4960" s="559"/>
      <c r="I4960" s="559"/>
      <c r="J4960" s="559"/>
      <c r="K4960" s="560"/>
      <c r="L4960" s="560"/>
      <c r="M4960" s="560"/>
    </row>
    <row r="4961" spans="3:13" s="338" customFormat="1">
      <c r="C4961" s="558"/>
      <c r="D4961" s="559"/>
      <c r="E4961" s="559"/>
      <c r="F4961" s="559"/>
      <c r="G4961" s="558"/>
      <c r="H4961" s="559"/>
      <c r="I4961" s="559"/>
      <c r="J4961" s="559"/>
      <c r="K4961" s="560"/>
      <c r="L4961" s="560"/>
      <c r="M4961" s="560"/>
    </row>
    <row r="4962" spans="3:13" s="338" customFormat="1">
      <c r="C4962" s="558"/>
      <c r="D4962" s="559"/>
      <c r="E4962" s="559"/>
      <c r="F4962" s="559"/>
      <c r="G4962" s="558"/>
      <c r="H4962" s="559"/>
      <c r="I4962" s="559"/>
      <c r="J4962" s="559"/>
      <c r="K4962" s="560"/>
      <c r="L4962" s="560"/>
      <c r="M4962" s="560"/>
    </row>
    <row r="4963" spans="3:13" s="338" customFormat="1">
      <c r="C4963" s="558"/>
      <c r="D4963" s="559"/>
      <c r="E4963" s="559"/>
      <c r="F4963" s="559"/>
      <c r="G4963" s="558"/>
      <c r="H4963" s="559"/>
      <c r="I4963" s="559"/>
      <c r="J4963" s="559"/>
      <c r="K4963" s="560"/>
      <c r="L4963" s="560"/>
      <c r="M4963" s="560"/>
    </row>
    <row r="4964" spans="3:13" s="338" customFormat="1">
      <c r="C4964" s="558"/>
      <c r="D4964" s="559"/>
      <c r="E4964" s="559"/>
      <c r="F4964" s="559"/>
      <c r="G4964" s="558"/>
      <c r="H4964" s="559"/>
      <c r="I4964" s="559"/>
      <c r="J4964" s="559"/>
      <c r="K4964" s="560"/>
      <c r="L4964" s="560"/>
      <c r="M4964" s="560"/>
    </row>
    <row r="4965" spans="3:13" s="338" customFormat="1">
      <c r="C4965" s="558"/>
      <c r="D4965" s="559"/>
      <c r="E4965" s="559"/>
      <c r="F4965" s="559"/>
      <c r="G4965" s="558"/>
      <c r="H4965" s="559"/>
      <c r="I4965" s="559"/>
      <c r="J4965" s="559"/>
      <c r="K4965" s="560"/>
      <c r="L4965" s="560"/>
      <c r="M4965" s="560"/>
    </row>
    <row r="4966" spans="3:13" s="338" customFormat="1">
      <c r="C4966" s="558"/>
      <c r="D4966" s="559"/>
      <c r="E4966" s="559"/>
      <c r="F4966" s="559"/>
      <c r="G4966" s="558"/>
      <c r="H4966" s="559"/>
      <c r="I4966" s="559"/>
      <c r="J4966" s="559"/>
      <c r="K4966" s="560"/>
      <c r="L4966" s="560"/>
      <c r="M4966" s="560"/>
    </row>
    <row r="4967" spans="3:13" s="338" customFormat="1">
      <c r="C4967" s="558"/>
      <c r="D4967" s="559"/>
      <c r="E4967" s="559"/>
      <c r="F4967" s="559"/>
      <c r="G4967" s="558"/>
      <c r="H4967" s="559"/>
      <c r="I4967" s="559"/>
      <c r="J4967" s="559"/>
      <c r="K4967" s="560"/>
      <c r="L4967" s="560"/>
      <c r="M4967" s="560"/>
    </row>
    <row r="4968" spans="3:13" s="338" customFormat="1">
      <c r="C4968" s="558"/>
      <c r="D4968" s="559"/>
      <c r="E4968" s="559"/>
      <c r="F4968" s="559"/>
      <c r="G4968" s="558"/>
      <c r="H4968" s="559"/>
      <c r="I4968" s="559"/>
      <c r="J4968" s="559"/>
      <c r="K4968" s="560"/>
      <c r="L4968" s="560"/>
      <c r="M4968" s="560"/>
    </row>
    <row r="4969" spans="3:13" s="338" customFormat="1">
      <c r="C4969" s="558"/>
      <c r="D4969" s="559"/>
      <c r="E4969" s="559"/>
      <c r="F4969" s="559"/>
      <c r="G4969" s="558"/>
      <c r="H4969" s="559"/>
      <c r="I4969" s="559"/>
      <c r="J4969" s="559"/>
      <c r="K4969" s="560"/>
      <c r="L4969" s="560"/>
      <c r="M4969" s="560"/>
    </row>
    <row r="4970" spans="3:13" s="338" customFormat="1">
      <c r="C4970" s="558"/>
      <c r="D4970" s="559"/>
      <c r="E4970" s="559"/>
      <c r="F4970" s="559"/>
      <c r="G4970" s="558"/>
      <c r="H4970" s="559"/>
      <c r="I4970" s="559"/>
      <c r="J4970" s="559"/>
      <c r="K4970" s="560"/>
      <c r="L4970" s="560"/>
      <c r="M4970" s="560"/>
    </row>
    <row r="4971" spans="3:13" s="338" customFormat="1">
      <c r="C4971" s="558"/>
      <c r="D4971" s="559"/>
      <c r="E4971" s="559"/>
      <c r="F4971" s="559"/>
      <c r="G4971" s="558"/>
      <c r="H4971" s="559"/>
      <c r="I4971" s="559"/>
      <c r="J4971" s="559"/>
      <c r="K4971" s="560"/>
      <c r="L4971" s="560"/>
      <c r="M4971" s="560"/>
    </row>
    <row r="4972" spans="3:13" s="338" customFormat="1">
      <c r="C4972" s="558"/>
      <c r="D4972" s="559"/>
      <c r="E4972" s="559"/>
      <c r="F4972" s="559"/>
      <c r="G4972" s="558"/>
      <c r="H4972" s="559"/>
      <c r="I4972" s="559"/>
      <c r="J4972" s="559"/>
      <c r="K4972" s="560"/>
      <c r="L4972" s="560"/>
      <c r="M4972" s="560"/>
    </row>
    <row r="4973" spans="3:13" s="338" customFormat="1">
      <c r="C4973" s="558"/>
      <c r="D4973" s="559"/>
      <c r="E4973" s="559"/>
      <c r="F4973" s="559"/>
      <c r="G4973" s="558"/>
      <c r="H4973" s="559"/>
      <c r="I4973" s="559"/>
      <c r="J4973" s="559"/>
      <c r="K4973" s="560"/>
      <c r="L4973" s="560"/>
      <c r="M4973" s="560"/>
    </row>
    <row r="4974" spans="3:13" s="338" customFormat="1">
      <c r="C4974" s="558"/>
      <c r="D4974" s="559"/>
      <c r="E4974" s="559"/>
      <c r="F4974" s="559"/>
      <c r="G4974" s="558"/>
      <c r="H4974" s="559"/>
      <c r="I4974" s="559"/>
      <c r="J4974" s="559"/>
      <c r="K4974" s="560"/>
      <c r="L4974" s="560"/>
      <c r="M4974" s="560"/>
    </row>
    <row r="4975" spans="3:13" s="338" customFormat="1">
      <c r="C4975" s="558"/>
      <c r="D4975" s="559"/>
      <c r="E4975" s="559"/>
      <c r="F4975" s="559"/>
      <c r="G4975" s="558"/>
      <c r="H4975" s="559"/>
      <c r="I4975" s="559"/>
      <c r="J4975" s="559"/>
      <c r="K4975" s="560"/>
      <c r="L4975" s="560"/>
      <c r="M4975" s="560"/>
    </row>
    <row r="4976" spans="3:13" s="338" customFormat="1">
      <c r="C4976" s="558"/>
      <c r="D4976" s="559"/>
      <c r="E4976" s="559"/>
      <c r="F4976" s="559"/>
      <c r="G4976" s="558"/>
      <c r="H4976" s="559"/>
      <c r="I4976" s="559"/>
      <c r="J4976" s="559"/>
      <c r="K4976" s="560"/>
      <c r="L4976" s="560"/>
      <c r="M4976" s="560"/>
    </row>
    <row r="4977" spans="3:13" s="338" customFormat="1">
      <c r="C4977" s="558"/>
      <c r="D4977" s="559"/>
      <c r="E4977" s="559"/>
      <c r="F4977" s="559"/>
      <c r="G4977" s="558"/>
      <c r="H4977" s="559"/>
      <c r="I4977" s="559"/>
      <c r="J4977" s="559"/>
      <c r="K4977" s="560"/>
      <c r="L4977" s="560"/>
      <c r="M4977" s="560"/>
    </row>
    <row r="4978" spans="3:13" s="338" customFormat="1">
      <c r="C4978" s="558"/>
      <c r="D4978" s="559"/>
      <c r="E4978" s="559"/>
      <c r="F4978" s="559"/>
      <c r="G4978" s="558"/>
      <c r="H4978" s="559"/>
      <c r="I4978" s="559"/>
      <c r="J4978" s="559"/>
      <c r="K4978" s="560"/>
      <c r="L4978" s="560"/>
      <c r="M4978" s="560"/>
    </row>
    <row r="4979" spans="3:13" s="338" customFormat="1">
      <c r="C4979" s="558"/>
      <c r="D4979" s="559"/>
      <c r="E4979" s="559"/>
      <c r="F4979" s="559"/>
      <c r="G4979" s="558"/>
      <c r="H4979" s="559"/>
      <c r="I4979" s="559"/>
      <c r="J4979" s="559"/>
      <c r="K4979" s="560"/>
      <c r="L4979" s="560"/>
      <c r="M4979" s="560"/>
    </row>
    <row r="4980" spans="3:13" s="338" customFormat="1">
      <c r="C4980" s="558"/>
      <c r="D4980" s="559"/>
      <c r="E4980" s="559"/>
      <c r="F4980" s="559"/>
      <c r="G4980" s="558"/>
      <c r="H4980" s="559"/>
      <c r="I4980" s="559"/>
      <c r="J4980" s="559"/>
      <c r="K4980" s="560"/>
      <c r="L4980" s="560"/>
      <c r="M4980" s="560"/>
    </row>
    <row r="4981" spans="3:13" s="338" customFormat="1">
      <c r="C4981" s="558"/>
      <c r="D4981" s="559"/>
      <c r="E4981" s="559"/>
      <c r="F4981" s="559"/>
      <c r="G4981" s="558"/>
      <c r="H4981" s="559"/>
      <c r="I4981" s="559"/>
      <c r="J4981" s="559"/>
      <c r="K4981" s="560"/>
      <c r="L4981" s="560"/>
      <c r="M4981" s="560"/>
    </row>
    <row r="4982" spans="3:13" s="338" customFormat="1">
      <c r="C4982" s="558"/>
      <c r="D4982" s="559"/>
      <c r="E4982" s="559"/>
      <c r="F4982" s="559"/>
      <c r="G4982" s="558"/>
      <c r="H4982" s="559"/>
      <c r="I4982" s="559"/>
      <c r="J4982" s="559"/>
      <c r="K4982" s="560"/>
      <c r="L4982" s="560"/>
      <c r="M4982" s="560"/>
    </row>
    <row r="4983" spans="3:13" s="338" customFormat="1">
      <c r="C4983" s="558"/>
      <c r="D4983" s="559"/>
      <c r="E4983" s="559"/>
      <c r="F4983" s="559"/>
      <c r="G4983" s="558"/>
      <c r="H4983" s="559"/>
      <c r="I4983" s="559"/>
      <c r="J4983" s="559"/>
      <c r="K4983" s="560"/>
      <c r="L4983" s="560"/>
      <c r="M4983" s="560"/>
    </row>
    <row r="4984" spans="3:13" s="338" customFormat="1">
      <c r="C4984" s="558"/>
      <c r="D4984" s="559"/>
      <c r="E4984" s="559"/>
      <c r="F4984" s="559"/>
      <c r="G4984" s="558"/>
      <c r="H4984" s="559"/>
      <c r="I4984" s="559"/>
      <c r="J4984" s="559"/>
      <c r="K4984" s="560"/>
      <c r="L4984" s="560"/>
      <c r="M4984" s="560"/>
    </row>
    <row r="4985" spans="3:13" s="338" customFormat="1">
      <c r="C4985" s="558"/>
      <c r="D4985" s="559"/>
      <c r="E4985" s="559"/>
      <c r="F4985" s="559"/>
      <c r="G4985" s="558"/>
      <c r="H4985" s="559"/>
      <c r="I4985" s="559"/>
      <c r="J4985" s="559"/>
      <c r="K4985" s="560"/>
      <c r="L4985" s="560"/>
      <c r="M4985" s="560"/>
    </row>
    <row r="4986" spans="3:13" s="338" customFormat="1">
      <c r="C4986" s="558"/>
      <c r="D4986" s="559"/>
      <c r="E4986" s="559"/>
      <c r="F4986" s="559"/>
      <c r="G4986" s="558"/>
      <c r="H4986" s="559"/>
      <c r="I4986" s="559"/>
      <c r="J4986" s="559"/>
      <c r="K4986" s="560"/>
      <c r="L4986" s="560"/>
      <c r="M4986" s="560"/>
    </row>
    <row r="4987" spans="3:13" s="338" customFormat="1">
      <c r="C4987" s="558"/>
      <c r="D4987" s="559"/>
      <c r="E4987" s="559"/>
      <c r="F4987" s="559"/>
      <c r="G4987" s="558"/>
      <c r="H4987" s="559"/>
      <c r="I4987" s="559"/>
      <c r="J4987" s="559"/>
      <c r="K4987" s="560"/>
      <c r="L4987" s="560"/>
      <c r="M4987" s="560"/>
    </row>
    <row r="4988" spans="3:13" s="338" customFormat="1">
      <c r="C4988" s="558"/>
      <c r="D4988" s="559"/>
      <c r="E4988" s="559"/>
      <c r="F4988" s="559"/>
      <c r="G4988" s="558"/>
      <c r="H4988" s="559"/>
      <c r="I4988" s="559"/>
      <c r="J4988" s="559"/>
      <c r="K4988" s="560"/>
      <c r="L4988" s="560"/>
      <c r="M4988" s="560"/>
    </row>
    <row r="4989" spans="3:13" s="338" customFormat="1">
      <c r="C4989" s="558"/>
      <c r="D4989" s="559"/>
      <c r="E4989" s="559"/>
      <c r="F4989" s="559"/>
      <c r="G4989" s="558"/>
      <c r="H4989" s="559"/>
      <c r="I4989" s="559"/>
      <c r="J4989" s="559"/>
      <c r="K4989" s="560"/>
      <c r="L4989" s="560"/>
      <c r="M4989" s="560"/>
    </row>
    <row r="4990" spans="3:13" s="338" customFormat="1">
      <c r="C4990" s="558"/>
      <c r="D4990" s="559"/>
      <c r="E4990" s="559"/>
      <c r="F4990" s="559"/>
      <c r="G4990" s="558"/>
      <c r="H4990" s="559"/>
      <c r="I4990" s="559"/>
      <c r="J4990" s="559"/>
      <c r="K4990" s="560"/>
      <c r="L4990" s="560"/>
      <c r="M4990" s="560"/>
    </row>
    <row r="4991" spans="3:13" s="338" customFormat="1">
      <c r="C4991" s="558"/>
      <c r="D4991" s="559"/>
      <c r="E4991" s="559"/>
      <c r="F4991" s="559"/>
      <c r="G4991" s="558"/>
      <c r="H4991" s="559"/>
      <c r="I4991" s="559"/>
      <c r="J4991" s="559"/>
      <c r="K4991" s="560"/>
      <c r="L4991" s="560"/>
      <c r="M4991" s="560"/>
    </row>
    <row r="4992" spans="3:13" s="338" customFormat="1">
      <c r="C4992" s="558"/>
      <c r="D4992" s="559"/>
      <c r="E4992" s="559"/>
      <c r="F4992" s="559"/>
      <c r="G4992" s="558"/>
      <c r="H4992" s="559"/>
      <c r="I4992" s="559"/>
      <c r="J4992" s="559"/>
      <c r="K4992" s="560"/>
      <c r="L4992" s="560"/>
      <c r="M4992" s="560"/>
    </row>
    <row r="4993" spans="3:13" s="338" customFormat="1">
      <c r="C4993" s="558"/>
      <c r="D4993" s="559"/>
      <c r="E4993" s="559"/>
      <c r="F4993" s="559"/>
      <c r="G4993" s="558"/>
      <c r="H4993" s="559"/>
      <c r="I4993" s="559"/>
      <c r="J4993" s="559"/>
      <c r="K4993" s="560"/>
      <c r="L4993" s="560"/>
      <c r="M4993" s="560"/>
    </row>
    <row r="4994" spans="3:13" s="338" customFormat="1">
      <c r="C4994" s="558"/>
      <c r="D4994" s="559"/>
      <c r="E4994" s="559"/>
      <c r="F4994" s="559"/>
      <c r="G4994" s="558"/>
      <c r="H4994" s="559"/>
      <c r="I4994" s="559"/>
      <c r="J4994" s="559"/>
      <c r="K4994" s="560"/>
      <c r="L4994" s="560"/>
      <c r="M4994" s="560"/>
    </row>
    <row r="4995" spans="3:13" s="338" customFormat="1">
      <c r="C4995" s="558"/>
      <c r="D4995" s="559"/>
      <c r="E4995" s="559"/>
      <c r="F4995" s="559"/>
      <c r="G4995" s="558"/>
      <c r="H4995" s="559"/>
      <c r="I4995" s="559"/>
      <c r="J4995" s="559"/>
      <c r="K4995" s="560"/>
      <c r="L4995" s="560"/>
      <c r="M4995" s="560"/>
    </row>
    <row r="4996" spans="3:13" s="338" customFormat="1">
      <c r="C4996" s="558"/>
      <c r="D4996" s="559"/>
      <c r="E4996" s="559"/>
      <c r="F4996" s="559"/>
      <c r="G4996" s="558"/>
      <c r="H4996" s="559"/>
      <c r="I4996" s="559"/>
      <c r="J4996" s="559"/>
      <c r="K4996" s="560"/>
      <c r="L4996" s="560"/>
      <c r="M4996" s="560"/>
    </row>
    <row r="4997" spans="3:13" s="338" customFormat="1">
      <c r="C4997" s="558"/>
      <c r="D4997" s="559"/>
      <c r="E4997" s="559"/>
      <c r="F4997" s="559"/>
      <c r="G4997" s="558"/>
      <c r="H4997" s="559"/>
      <c r="I4997" s="559"/>
      <c r="J4997" s="559"/>
      <c r="K4997" s="560"/>
      <c r="L4997" s="560"/>
      <c r="M4997" s="560"/>
    </row>
    <row r="4998" spans="3:13" s="338" customFormat="1">
      <c r="C4998" s="558"/>
      <c r="D4998" s="559"/>
      <c r="E4998" s="559"/>
      <c r="F4998" s="559"/>
      <c r="G4998" s="558"/>
      <c r="H4998" s="559"/>
      <c r="I4998" s="559"/>
      <c r="J4998" s="559"/>
      <c r="K4998" s="560"/>
      <c r="L4998" s="560"/>
      <c r="M4998" s="560"/>
    </row>
    <row r="4999" spans="3:13" s="338" customFormat="1">
      <c r="C4999" s="558"/>
      <c r="D4999" s="559"/>
      <c r="E4999" s="559"/>
      <c r="F4999" s="559"/>
      <c r="G4999" s="558"/>
      <c r="H4999" s="559"/>
      <c r="I4999" s="559"/>
      <c r="J4999" s="559"/>
      <c r="K4999" s="560"/>
      <c r="L4999" s="560"/>
      <c r="M4999" s="560"/>
    </row>
    <row r="5000" spans="3:13" s="338" customFormat="1">
      <c r="C5000" s="558"/>
      <c r="D5000" s="559"/>
      <c r="E5000" s="559"/>
      <c r="F5000" s="559"/>
      <c r="G5000" s="558"/>
      <c r="H5000" s="559"/>
      <c r="I5000" s="559"/>
      <c r="J5000" s="559"/>
      <c r="K5000" s="560"/>
      <c r="L5000" s="560"/>
      <c r="M5000" s="560"/>
    </row>
    <row r="5001" spans="3:13" s="338" customFormat="1">
      <c r="C5001" s="558"/>
      <c r="D5001" s="559"/>
      <c r="E5001" s="559"/>
      <c r="F5001" s="559"/>
      <c r="G5001" s="558"/>
      <c r="H5001" s="559"/>
      <c r="I5001" s="559"/>
      <c r="J5001" s="559"/>
      <c r="K5001" s="560"/>
      <c r="L5001" s="560"/>
      <c r="M5001" s="560"/>
    </row>
    <row r="5002" spans="3:13" s="338" customFormat="1">
      <c r="C5002" s="558"/>
      <c r="D5002" s="559"/>
      <c r="E5002" s="559"/>
      <c r="F5002" s="559"/>
      <c r="G5002" s="558"/>
      <c r="H5002" s="559"/>
      <c r="I5002" s="559"/>
      <c r="J5002" s="559"/>
      <c r="K5002" s="560"/>
      <c r="L5002" s="560"/>
      <c r="M5002" s="560"/>
    </row>
    <row r="5003" spans="3:13" s="338" customFormat="1">
      <c r="C5003" s="558"/>
      <c r="D5003" s="559"/>
      <c r="E5003" s="559"/>
      <c r="F5003" s="559"/>
      <c r="G5003" s="558"/>
      <c r="H5003" s="559"/>
      <c r="I5003" s="559"/>
      <c r="J5003" s="559"/>
      <c r="K5003" s="560"/>
      <c r="L5003" s="560"/>
      <c r="M5003" s="560"/>
    </row>
    <row r="5004" spans="3:13" s="338" customFormat="1">
      <c r="C5004" s="558"/>
      <c r="D5004" s="559"/>
      <c r="E5004" s="559"/>
      <c r="F5004" s="559"/>
      <c r="G5004" s="558"/>
      <c r="H5004" s="559"/>
      <c r="I5004" s="559"/>
      <c r="J5004" s="559"/>
      <c r="K5004" s="560"/>
      <c r="L5004" s="560"/>
      <c r="M5004" s="560"/>
    </row>
    <row r="5005" spans="3:13" s="338" customFormat="1">
      <c r="C5005" s="558"/>
      <c r="D5005" s="559"/>
      <c r="E5005" s="559"/>
      <c r="F5005" s="559"/>
      <c r="G5005" s="558"/>
      <c r="H5005" s="559"/>
      <c r="I5005" s="559"/>
      <c r="J5005" s="559"/>
      <c r="K5005" s="560"/>
      <c r="L5005" s="560"/>
      <c r="M5005" s="560"/>
    </row>
    <row r="5006" spans="3:13" s="338" customFormat="1">
      <c r="C5006" s="558"/>
      <c r="D5006" s="559"/>
      <c r="E5006" s="559"/>
      <c r="F5006" s="559"/>
      <c r="G5006" s="558"/>
      <c r="H5006" s="559"/>
      <c r="I5006" s="559"/>
      <c r="J5006" s="559"/>
      <c r="K5006" s="560"/>
      <c r="L5006" s="560"/>
      <c r="M5006" s="560"/>
    </row>
    <row r="5007" spans="3:13" s="338" customFormat="1">
      <c r="C5007" s="558"/>
      <c r="D5007" s="559"/>
      <c r="E5007" s="559"/>
      <c r="F5007" s="559"/>
      <c r="G5007" s="558"/>
      <c r="H5007" s="559"/>
      <c r="I5007" s="559"/>
      <c r="J5007" s="559"/>
      <c r="K5007" s="560"/>
      <c r="L5007" s="560"/>
      <c r="M5007" s="560"/>
    </row>
    <row r="5008" spans="3:13" s="338" customFormat="1">
      <c r="C5008" s="558"/>
      <c r="D5008" s="559"/>
      <c r="E5008" s="559"/>
      <c r="F5008" s="559"/>
      <c r="G5008" s="558"/>
      <c r="H5008" s="559"/>
      <c r="I5008" s="559"/>
      <c r="J5008" s="559"/>
      <c r="K5008" s="560"/>
      <c r="L5008" s="560"/>
      <c r="M5008" s="560"/>
    </row>
    <row r="5009" spans="3:13" s="338" customFormat="1">
      <c r="C5009" s="558"/>
      <c r="D5009" s="559"/>
      <c r="E5009" s="559"/>
      <c r="F5009" s="559"/>
      <c r="G5009" s="558"/>
      <c r="H5009" s="559"/>
      <c r="I5009" s="559"/>
      <c r="J5009" s="559"/>
      <c r="K5009" s="560"/>
      <c r="L5009" s="560"/>
      <c r="M5009" s="560"/>
    </row>
    <row r="5010" spans="3:13" s="338" customFormat="1">
      <c r="C5010" s="558"/>
      <c r="D5010" s="559"/>
      <c r="E5010" s="559"/>
      <c r="F5010" s="559"/>
      <c r="G5010" s="558"/>
      <c r="H5010" s="559"/>
      <c r="I5010" s="559"/>
      <c r="J5010" s="559"/>
      <c r="K5010" s="560"/>
      <c r="L5010" s="560"/>
      <c r="M5010" s="560"/>
    </row>
    <row r="5011" spans="3:13" s="338" customFormat="1">
      <c r="C5011" s="558"/>
      <c r="D5011" s="559"/>
      <c r="E5011" s="559"/>
      <c r="F5011" s="559"/>
      <c r="G5011" s="558"/>
      <c r="H5011" s="559"/>
      <c r="I5011" s="559"/>
      <c r="J5011" s="559"/>
      <c r="K5011" s="560"/>
      <c r="L5011" s="560"/>
      <c r="M5011" s="560"/>
    </row>
    <row r="5012" spans="3:13" s="338" customFormat="1">
      <c r="C5012" s="558"/>
      <c r="D5012" s="559"/>
      <c r="E5012" s="559"/>
      <c r="F5012" s="559"/>
      <c r="G5012" s="558"/>
      <c r="H5012" s="559"/>
      <c r="I5012" s="559"/>
      <c r="J5012" s="559"/>
      <c r="K5012" s="560"/>
      <c r="L5012" s="560"/>
      <c r="M5012" s="560"/>
    </row>
    <row r="5013" spans="3:13" s="338" customFormat="1">
      <c r="C5013" s="558"/>
      <c r="D5013" s="559"/>
      <c r="E5013" s="559"/>
      <c r="F5013" s="559"/>
      <c r="G5013" s="558"/>
      <c r="H5013" s="559"/>
      <c r="I5013" s="559"/>
      <c r="J5013" s="559"/>
      <c r="K5013" s="560"/>
      <c r="L5013" s="560"/>
      <c r="M5013" s="560"/>
    </row>
    <row r="5014" spans="3:13" s="338" customFormat="1">
      <c r="C5014" s="558"/>
      <c r="D5014" s="559"/>
      <c r="E5014" s="559"/>
      <c r="F5014" s="559"/>
      <c r="G5014" s="558"/>
      <c r="H5014" s="559"/>
      <c r="I5014" s="559"/>
      <c r="J5014" s="559"/>
      <c r="K5014" s="560"/>
      <c r="L5014" s="560"/>
      <c r="M5014" s="560"/>
    </row>
    <row r="5015" spans="3:13" s="338" customFormat="1">
      <c r="C5015" s="558"/>
      <c r="D5015" s="559"/>
      <c r="E5015" s="559"/>
      <c r="F5015" s="559"/>
      <c r="G5015" s="558"/>
      <c r="H5015" s="559"/>
      <c r="I5015" s="559"/>
      <c r="J5015" s="559"/>
      <c r="K5015" s="560"/>
      <c r="L5015" s="560"/>
      <c r="M5015" s="560"/>
    </row>
    <row r="5016" spans="3:13" s="338" customFormat="1">
      <c r="C5016" s="558"/>
      <c r="D5016" s="559"/>
      <c r="E5016" s="559"/>
      <c r="F5016" s="559"/>
      <c r="G5016" s="558"/>
      <c r="H5016" s="559"/>
      <c r="I5016" s="559"/>
      <c r="J5016" s="559"/>
      <c r="K5016" s="560"/>
      <c r="L5016" s="560"/>
      <c r="M5016" s="560"/>
    </row>
    <row r="5017" spans="3:13" s="338" customFormat="1">
      <c r="C5017" s="558"/>
      <c r="D5017" s="559"/>
      <c r="E5017" s="559"/>
      <c r="F5017" s="559"/>
      <c r="G5017" s="558"/>
      <c r="H5017" s="559"/>
      <c r="I5017" s="559"/>
      <c r="J5017" s="559"/>
      <c r="K5017" s="560"/>
      <c r="L5017" s="560"/>
      <c r="M5017" s="560"/>
    </row>
    <row r="5018" spans="3:13" s="338" customFormat="1">
      <c r="C5018" s="558"/>
      <c r="D5018" s="559"/>
      <c r="E5018" s="559"/>
      <c r="F5018" s="559"/>
      <c r="G5018" s="558"/>
      <c r="H5018" s="559"/>
      <c r="I5018" s="559"/>
      <c r="J5018" s="559"/>
      <c r="K5018" s="560"/>
      <c r="L5018" s="560"/>
      <c r="M5018" s="560"/>
    </row>
    <row r="5019" spans="3:13" s="338" customFormat="1">
      <c r="C5019" s="558"/>
      <c r="D5019" s="559"/>
      <c r="E5019" s="559"/>
      <c r="F5019" s="559"/>
      <c r="G5019" s="558"/>
      <c r="H5019" s="559"/>
      <c r="I5019" s="559"/>
      <c r="J5019" s="559"/>
      <c r="K5019" s="560"/>
      <c r="L5019" s="560"/>
      <c r="M5019" s="560"/>
    </row>
    <row r="5020" spans="3:13" s="338" customFormat="1">
      <c r="C5020" s="558"/>
      <c r="D5020" s="559"/>
      <c r="E5020" s="559"/>
      <c r="F5020" s="559"/>
      <c r="G5020" s="558"/>
      <c r="H5020" s="559"/>
      <c r="I5020" s="559"/>
      <c r="J5020" s="559"/>
      <c r="K5020" s="560"/>
      <c r="L5020" s="560"/>
      <c r="M5020" s="560"/>
    </row>
    <row r="5021" spans="3:13" s="338" customFormat="1">
      <c r="C5021" s="558"/>
      <c r="D5021" s="559"/>
      <c r="E5021" s="559"/>
      <c r="F5021" s="559"/>
      <c r="G5021" s="558"/>
      <c r="H5021" s="559"/>
      <c r="I5021" s="559"/>
      <c r="J5021" s="559"/>
      <c r="K5021" s="560"/>
      <c r="L5021" s="560"/>
      <c r="M5021" s="560"/>
    </row>
    <row r="5022" spans="3:13" s="338" customFormat="1">
      <c r="C5022" s="558"/>
      <c r="D5022" s="559"/>
      <c r="E5022" s="559"/>
      <c r="F5022" s="559"/>
      <c r="G5022" s="558"/>
      <c r="H5022" s="559"/>
      <c r="I5022" s="559"/>
      <c r="J5022" s="559"/>
      <c r="K5022" s="560"/>
      <c r="L5022" s="560"/>
      <c r="M5022" s="560"/>
    </row>
    <row r="5023" spans="3:13" s="338" customFormat="1">
      <c r="C5023" s="558"/>
      <c r="D5023" s="559"/>
      <c r="E5023" s="559"/>
      <c r="F5023" s="559"/>
      <c r="G5023" s="558"/>
      <c r="H5023" s="559"/>
      <c r="I5023" s="559"/>
      <c r="J5023" s="559"/>
      <c r="K5023" s="560"/>
      <c r="L5023" s="560"/>
      <c r="M5023" s="560"/>
    </row>
    <row r="5024" spans="3:13" s="338" customFormat="1">
      <c r="C5024" s="558"/>
      <c r="D5024" s="559"/>
      <c r="E5024" s="559"/>
      <c r="F5024" s="559"/>
      <c r="G5024" s="558"/>
      <c r="H5024" s="559"/>
      <c r="I5024" s="559"/>
      <c r="J5024" s="559"/>
      <c r="K5024" s="560"/>
      <c r="L5024" s="560"/>
      <c r="M5024" s="560"/>
    </row>
    <row r="5025" spans="3:13" s="338" customFormat="1">
      <c r="C5025" s="558"/>
      <c r="D5025" s="559"/>
      <c r="E5025" s="559"/>
      <c r="F5025" s="559"/>
      <c r="G5025" s="558"/>
      <c r="H5025" s="559"/>
      <c r="I5025" s="559"/>
      <c r="J5025" s="559"/>
      <c r="K5025" s="560"/>
      <c r="L5025" s="560"/>
      <c r="M5025" s="560"/>
    </row>
    <row r="5026" spans="3:13" s="338" customFormat="1">
      <c r="C5026" s="558"/>
      <c r="D5026" s="559"/>
      <c r="E5026" s="559"/>
      <c r="F5026" s="559"/>
      <c r="G5026" s="558"/>
      <c r="H5026" s="559"/>
      <c r="I5026" s="559"/>
      <c r="J5026" s="559"/>
      <c r="K5026" s="560"/>
      <c r="L5026" s="560"/>
      <c r="M5026" s="560"/>
    </row>
    <row r="5027" spans="3:13" s="338" customFormat="1">
      <c r="C5027" s="558"/>
      <c r="D5027" s="559"/>
      <c r="E5027" s="559"/>
      <c r="F5027" s="559"/>
      <c r="G5027" s="558"/>
      <c r="H5027" s="559"/>
      <c r="I5027" s="559"/>
      <c r="J5027" s="559"/>
      <c r="K5027" s="560"/>
      <c r="L5027" s="560"/>
      <c r="M5027" s="560"/>
    </row>
    <row r="5028" spans="3:13" s="338" customFormat="1">
      <c r="C5028" s="558"/>
      <c r="D5028" s="559"/>
      <c r="E5028" s="559"/>
      <c r="F5028" s="559"/>
      <c r="G5028" s="558"/>
      <c r="H5028" s="559"/>
      <c r="I5028" s="559"/>
      <c r="J5028" s="559"/>
      <c r="K5028" s="560"/>
      <c r="L5028" s="560"/>
      <c r="M5028" s="560"/>
    </row>
    <row r="5029" spans="3:13" s="338" customFormat="1">
      <c r="C5029" s="558"/>
      <c r="D5029" s="559"/>
      <c r="E5029" s="559"/>
      <c r="F5029" s="559"/>
      <c r="G5029" s="558"/>
      <c r="H5029" s="559"/>
      <c r="I5029" s="559"/>
      <c r="J5029" s="559"/>
      <c r="K5029" s="560"/>
      <c r="L5029" s="560"/>
      <c r="M5029" s="560"/>
    </row>
    <row r="5030" spans="3:13" s="338" customFormat="1">
      <c r="C5030" s="558"/>
      <c r="D5030" s="559"/>
      <c r="E5030" s="559"/>
      <c r="F5030" s="559"/>
      <c r="G5030" s="558"/>
      <c r="H5030" s="559"/>
      <c r="I5030" s="559"/>
      <c r="J5030" s="559"/>
      <c r="K5030" s="560"/>
      <c r="L5030" s="560"/>
      <c r="M5030" s="560"/>
    </row>
    <row r="5031" spans="3:13" s="338" customFormat="1">
      <c r="C5031" s="558"/>
      <c r="D5031" s="559"/>
      <c r="E5031" s="559"/>
      <c r="F5031" s="559"/>
      <c r="G5031" s="558"/>
      <c r="H5031" s="559"/>
      <c r="I5031" s="559"/>
      <c r="J5031" s="559"/>
      <c r="K5031" s="560"/>
      <c r="L5031" s="560"/>
      <c r="M5031" s="560"/>
    </row>
    <row r="5032" spans="3:13" s="338" customFormat="1">
      <c r="C5032" s="558"/>
      <c r="D5032" s="559"/>
      <c r="E5032" s="559"/>
      <c r="F5032" s="559"/>
      <c r="G5032" s="558"/>
      <c r="H5032" s="559"/>
      <c r="I5032" s="559"/>
      <c r="J5032" s="559"/>
      <c r="K5032" s="560"/>
      <c r="L5032" s="560"/>
      <c r="M5032" s="560"/>
    </row>
    <row r="5033" spans="3:13" s="338" customFormat="1">
      <c r="C5033" s="558"/>
      <c r="D5033" s="559"/>
      <c r="E5033" s="559"/>
      <c r="F5033" s="559"/>
      <c r="G5033" s="558"/>
      <c r="H5033" s="559"/>
      <c r="I5033" s="559"/>
      <c r="J5033" s="559"/>
      <c r="K5033" s="560"/>
      <c r="L5033" s="560"/>
      <c r="M5033" s="560"/>
    </row>
    <row r="5034" spans="3:13" s="338" customFormat="1">
      <c r="C5034" s="558"/>
      <c r="D5034" s="559"/>
      <c r="E5034" s="559"/>
      <c r="F5034" s="559"/>
      <c r="G5034" s="558"/>
      <c r="H5034" s="559"/>
      <c r="I5034" s="559"/>
      <c r="J5034" s="559"/>
      <c r="K5034" s="560"/>
      <c r="L5034" s="560"/>
      <c r="M5034" s="560"/>
    </row>
    <row r="5035" spans="3:13" s="338" customFormat="1">
      <c r="C5035" s="558"/>
      <c r="D5035" s="559"/>
      <c r="E5035" s="559"/>
      <c r="F5035" s="559"/>
      <c r="G5035" s="558"/>
      <c r="H5035" s="559"/>
      <c r="I5035" s="559"/>
      <c r="J5035" s="559"/>
      <c r="K5035" s="560"/>
      <c r="L5035" s="560"/>
      <c r="M5035" s="560"/>
    </row>
    <row r="5036" spans="3:13" s="338" customFormat="1">
      <c r="C5036" s="558"/>
      <c r="D5036" s="559"/>
      <c r="E5036" s="559"/>
      <c r="F5036" s="559"/>
      <c r="G5036" s="558"/>
      <c r="H5036" s="559"/>
      <c r="I5036" s="559"/>
      <c r="J5036" s="559"/>
      <c r="K5036" s="560"/>
      <c r="L5036" s="560"/>
      <c r="M5036" s="560"/>
    </row>
    <row r="5037" spans="3:13" s="338" customFormat="1">
      <c r="C5037" s="558"/>
      <c r="D5037" s="559"/>
      <c r="E5037" s="559"/>
      <c r="F5037" s="559"/>
      <c r="G5037" s="558"/>
      <c r="H5037" s="559"/>
      <c r="I5037" s="559"/>
      <c r="J5037" s="559"/>
      <c r="K5037" s="560"/>
      <c r="L5037" s="560"/>
      <c r="M5037" s="560"/>
    </row>
    <row r="5038" spans="3:13" s="338" customFormat="1">
      <c r="C5038" s="558"/>
      <c r="D5038" s="559"/>
      <c r="E5038" s="559"/>
      <c r="F5038" s="559"/>
      <c r="G5038" s="558"/>
      <c r="H5038" s="559"/>
      <c r="I5038" s="559"/>
      <c r="J5038" s="559"/>
      <c r="K5038" s="560"/>
      <c r="L5038" s="560"/>
      <c r="M5038" s="560"/>
    </row>
    <row r="5039" spans="3:13" s="338" customFormat="1">
      <c r="C5039" s="558"/>
      <c r="D5039" s="559"/>
      <c r="E5039" s="559"/>
      <c r="F5039" s="559"/>
      <c r="G5039" s="558"/>
      <c r="H5039" s="559"/>
      <c r="I5039" s="559"/>
      <c r="J5039" s="559"/>
      <c r="K5039" s="560"/>
      <c r="L5039" s="560"/>
      <c r="M5039" s="560"/>
    </row>
    <row r="5040" spans="3:13" s="338" customFormat="1">
      <c r="C5040" s="558"/>
      <c r="D5040" s="559"/>
      <c r="E5040" s="559"/>
      <c r="F5040" s="559"/>
      <c r="G5040" s="558"/>
      <c r="H5040" s="559"/>
      <c r="I5040" s="559"/>
      <c r="J5040" s="559"/>
      <c r="K5040" s="560"/>
      <c r="L5040" s="560"/>
      <c r="M5040" s="560"/>
    </row>
    <row r="5041" spans="3:13" s="338" customFormat="1">
      <c r="C5041" s="558"/>
      <c r="D5041" s="559"/>
      <c r="E5041" s="559"/>
      <c r="F5041" s="559"/>
      <c r="G5041" s="558"/>
      <c r="H5041" s="559"/>
      <c r="I5041" s="559"/>
      <c r="J5041" s="559"/>
      <c r="K5041" s="560"/>
      <c r="L5041" s="560"/>
      <c r="M5041" s="560"/>
    </row>
    <row r="5042" spans="3:13" s="338" customFormat="1">
      <c r="C5042" s="558"/>
      <c r="D5042" s="559"/>
      <c r="E5042" s="559"/>
      <c r="F5042" s="559"/>
      <c r="G5042" s="558"/>
      <c r="H5042" s="559"/>
      <c r="I5042" s="559"/>
      <c r="J5042" s="559"/>
      <c r="K5042" s="560"/>
      <c r="L5042" s="560"/>
      <c r="M5042" s="560"/>
    </row>
    <row r="5043" spans="3:13" s="338" customFormat="1">
      <c r="C5043" s="558"/>
      <c r="D5043" s="559"/>
      <c r="E5043" s="559"/>
      <c r="F5043" s="559"/>
      <c r="G5043" s="558"/>
      <c r="H5043" s="559"/>
      <c r="I5043" s="559"/>
      <c r="J5043" s="559"/>
      <c r="K5043" s="560"/>
      <c r="L5043" s="560"/>
      <c r="M5043" s="560"/>
    </row>
    <row r="5044" spans="3:13" s="338" customFormat="1">
      <c r="C5044" s="558"/>
      <c r="D5044" s="559"/>
      <c r="E5044" s="559"/>
      <c r="F5044" s="559"/>
      <c r="G5044" s="558"/>
      <c r="H5044" s="559"/>
      <c r="I5044" s="559"/>
      <c r="J5044" s="559"/>
      <c r="K5044" s="560"/>
      <c r="L5044" s="560"/>
      <c r="M5044" s="560"/>
    </row>
    <row r="5045" spans="3:13" s="338" customFormat="1">
      <c r="C5045" s="558"/>
      <c r="D5045" s="559"/>
      <c r="E5045" s="559"/>
      <c r="F5045" s="559"/>
      <c r="G5045" s="558"/>
      <c r="H5045" s="559"/>
      <c r="I5045" s="559"/>
      <c r="J5045" s="559"/>
      <c r="K5045" s="560"/>
      <c r="L5045" s="560"/>
      <c r="M5045" s="560"/>
    </row>
    <row r="5046" spans="3:13" s="338" customFormat="1">
      <c r="C5046" s="558"/>
      <c r="D5046" s="559"/>
      <c r="E5046" s="559"/>
      <c r="F5046" s="559"/>
      <c r="G5046" s="558"/>
      <c r="H5046" s="559"/>
      <c r="I5046" s="559"/>
      <c r="J5046" s="559"/>
      <c r="K5046" s="560"/>
      <c r="L5046" s="560"/>
      <c r="M5046" s="560"/>
    </row>
    <row r="5047" spans="3:13" s="338" customFormat="1">
      <c r="C5047" s="558"/>
      <c r="D5047" s="559"/>
      <c r="E5047" s="559"/>
      <c r="F5047" s="559"/>
      <c r="G5047" s="558"/>
      <c r="H5047" s="559"/>
      <c r="I5047" s="559"/>
      <c r="J5047" s="559"/>
      <c r="K5047" s="560"/>
      <c r="L5047" s="560"/>
      <c r="M5047" s="560"/>
    </row>
    <row r="5048" spans="3:13" s="338" customFormat="1">
      <c r="C5048" s="558"/>
      <c r="D5048" s="559"/>
      <c r="E5048" s="559"/>
      <c r="F5048" s="559"/>
      <c r="G5048" s="558"/>
      <c r="H5048" s="559"/>
      <c r="I5048" s="559"/>
      <c r="J5048" s="559"/>
      <c r="K5048" s="560"/>
      <c r="L5048" s="560"/>
      <c r="M5048" s="560"/>
    </row>
    <row r="5049" spans="3:13" s="338" customFormat="1">
      <c r="C5049" s="558"/>
      <c r="D5049" s="559"/>
      <c r="E5049" s="559"/>
      <c r="F5049" s="559"/>
      <c r="G5049" s="558"/>
      <c r="H5049" s="559"/>
      <c r="I5049" s="559"/>
      <c r="J5049" s="559"/>
      <c r="K5049" s="560"/>
      <c r="L5049" s="560"/>
      <c r="M5049" s="560"/>
    </row>
    <row r="5050" spans="3:13" s="338" customFormat="1">
      <c r="C5050" s="558"/>
      <c r="D5050" s="559"/>
      <c r="E5050" s="559"/>
      <c r="F5050" s="559"/>
      <c r="G5050" s="558"/>
      <c r="H5050" s="559"/>
      <c r="I5050" s="559"/>
      <c r="J5050" s="559"/>
      <c r="K5050" s="560"/>
      <c r="L5050" s="560"/>
      <c r="M5050" s="560"/>
    </row>
    <row r="5051" spans="3:13" s="338" customFormat="1">
      <c r="C5051" s="558"/>
      <c r="D5051" s="559"/>
      <c r="E5051" s="559"/>
      <c r="F5051" s="559"/>
      <c r="G5051" s="558"/>
      <c r="H5051" s="559"/>
      <c r="I5051" s="559"/>
      <c r="J5051" s="559"/>
      <c r="K5051" s="560"/>
      <c r="L5051" s="560"/>
      <c r="M5051" s="560"/>
    </row>
    <row r="5052" spans="3:13" s="338" customFormat="1">
      <c r="C5052" s="558"/>
      <c r="D5052" s="559"/>
      <c r="E5052" s="559"/>
      <c r="F5052" s="559"/>
      <c r="G5052" s="558"/>
      <c r="H5052" s="559"/>
      <c r="I5052" s="559"/>
      <c r="J5052" s="559"/>
      <c r="K5052" s="560"/>
      <c r="L5052" s="560"/>
      <c r="M5052" s="560"/>
    </row>
    <row r="5053" spans="3:13" s="338" customFormat="1">
      <c r="C5053" s="558"/>
      <c r="D5053" s="559"/>
      <c r="E5053" s="559"/>
      <c r="F5053" s="559"/>
      <c r="G5053" s="558"/>
      <c r="H5053" s="559"/>
      <c r="I5053" s="559"/>
      <c r="J5053" s="559"/>
      <c r="K5053" s="560"/>
      <c r="L5053" s="560"/>
      <c r="M5053" s="560"/>
    </row>
    <row r="5054" spans="3:13" s="338" customFormat="1">
      <c r="C5054" s="558"/>
      <c r="D5054" s="559"/>
      <c r="E5054" s="559"/>
      <c r="F5054" s="559"/>
      <c r="G5054" s="558"/>
      <c r="H5054" s="559"/>
      <c r="I5054" s="559"/>
      <c r="J5054" s="559"/>
      <c r="K5054" s="560"/>
      <c r="L5054" s="560"/>
      <c r="M5054" s="560"/>
    </row>
    <row r="5055" spans="3:13" s="338" customFormat="1">
      <c r="C5055" s="558"/>
      <c r="D5055" s="559"/>
      <c r="E5055" s="559"/>
      <c r="F5055" s="559"/>
      <c r="G5055" s="558"/>
      <c r="H5055" s="559"/>
      <c r="I5055" s="559"/>
      <c r="J5055" s="559"/>
      <c r="K5055" s="560"/>
      <c r="L5055" s="560"/>
      <c r="M5055" s="560"/>
    </row>
    <row r="5056" spans="3:13" s="338" customFormat="1">
      <c r="C5056" s="558"/>
      <c r="D5056" s="559"/>
      <c r="E5056" s="559"/>
      <c r="F5056" s="559"/>
      <c r="G5056" s="558"/>
      <c r="H5056" s="559"/>
      <c r="I5056" s="559"/>
      <c r="J5056" s="559"/>
      <c r="K5056" s="560"/>
      <c r="L5056" s="560"/>
      <c r="M5056" s="560"/>
    </row>
    <row r="5057" spans="3:13" s="338" customFormat="1">
      <c r="C5057" s="558"/>
      <c r="D5057" s="559"/>
      <c r="E5057" s="559"/>
      <c r="F5057" s="559"/>
      <c r="G5057" s="558"/>
      <c r="H5057" s="559"/>
      <c r="I5057" s="559"/>
      <c r="J5057" s="559"/>
      <c r="K5057" s="560"/>
      <c r="L5057" s="560"/>
      <c r="M5057" s="560"/>
    </row>
    <row r="5058" spans="3:13" s="338" customFormat="1">
      <c r="C5058" s="558"/>
      <c r="D5058" s="559"/>
      <c r="E5058" s="559"/>
      <c r="F5058" s="559"/>
      <c r="G5058" s="558"/>
      <c r="H5058" s="559"/>
      <c r="I5058" s="559"/>
      <c r="J5058" s="559"/>
      <c r="K5058" s="560"/>
      <c r="L5058" s="560"/>
      <c r="M5058" s="560"/>
    </row>
    <row r="5059" spans="3:13" s="338" customFormat="1">
      <c r="C5059" s="558"/>
      <c r="D5059" s="559"/>
      <c r="E5059" s="559"/>
      <c r="F5059" s="559"/>
      <c r="G5059" s="558"/>
      <c r="H5059" s="559"/>
      <c r="I5059" s="559"/>
      <c r="J5059" s="559"/>
      <c r="K5059" s="560"/>
      <c r="L5059" s="560"/>
      <c r="M5059" s="560"/>
    </row>
    <row r="5060" spans="3:13" s="338" customFormat="1">
      <c r="C5060" s="558"/>
      <c r="D5060" s="559"/>
      <c r="E5060" s="559"/>
      <c r="F5060" s="559"/>
      <c r="G5060" s="558"/>
      <c r="H5060" s="559"/>
      <c r="I5060" s="559"/>
      <c r="J5060" s="559"/>
      <c r="K5060" s="560"/>
      <c r="L5060" s="560"/>
      <c r="M5060" s="560"/>
    </row>
    <row r="5061" spans="3:13" s="338" customFormat="1">
      <c r="C5061" s="558"/>
      <c r="D5061" s="559"/>
      <c r="E5061" s="559"/>
      <c r="F5061" s="559"/>
      <c r="G5061" s="558"/>
      <c r="H5061" s="559"/>
      <c r="I5061" s="559"/>
      <c r="J5061" s="559"/>
      <c r="K5061" s="560"/>
      <c r="L5061" s="560"/>
      <c r="M5061" s="560"/>
    </row>
    <row r="5062" spans="3:13" s="338" customFormat="1">
      <c r="C5062" s="558"/>
      <c r="D5062" s="559"/>
      <c r="E5062" s="559"/>
      <c r="F5062" s="559"/>
      <c r="G5062" s="558"/>
      <c r="H5062" s="559"/>
      <c r="I5062" s="559"/>
      <c r="J5062" s="559"/>
      <c r="K5062" s="560"/>
      <c r="L5062" s="560"/>
      <c r="M5062" s="560"/>
    </row>
    <row r="5063" spans="3:13" s="338" customFormat="1">
      <c r="C5063" s="558"/>
      <c r="D5063" s="559"/>
      <c r="E5063" s="559"/>
      <c r="F5063" s="559"/>
      <c r="G5063" s="558"/>
      <c r="H5063" s="559"/>
      <c r="I5063" s="559"/>
      <c r="J5063" s="559"/>
      <c r="K5063" s="560"/>
      <c r="L5063" s="560"/>
      <c r="M5063" s="560"/>
    </row>
    <row r="5064" spans="3:13" s="338" customFormat="1">
      <c r="C5064" s="558"/>
      <c r="D5064" s="559"/>
      <c r="E5064" s="559"/>
      <c r="F5064" s="559"/>
      <c r="G5064" s="558"/>
      <c r="H5064" s="559"/>
      <c r="I5064" s="559"/>
      <c r="J5064" s="559"/>
      <c r="K5064" s="560"/>
      <c r="L5064" s="560"/>
      <c r="M5064" s="560"/>
    </row>
    <row r="5065" spans="3:13" s="338" customFormat="1">
      <c r="C5065" s="558"/>
      <c r="D5065" s="559"/>
      <c r="E5065" s="559"/>
      <c r="F5065" s="559"/>
      <c r="G5065" s="558"/>
      <c r="H5065" s="559"/>
      <c r="I5065" s="559"/>
      <c r="J5065" s="559"/>
      <c r="K5065" s="560"/>
      <c r="L5065" s="560"/>
      <c r="M5065" s="560"/>
    </row>
    <row r="5066" spans="3:13" s="338" customFormat="1">
      <c r="C5066" s="558"/>
      <c r="D5066" s="559"/>
      <c r="E5066" s="559"/>
      <c r="F5066" s="559"/>
      <c r="G5066" s="558"/>
      <c r="H5066" s="559"/>
      <c r="I5066" s="559"/>
      <c r="J5066" s="559"/>
      <c r="K5066" s="560"/>
      <c r="L5066" s="560"/>
      <c r="M5066" s="560"/>
    </row>
    <row r="5067" spans="3:13" s="338" customFormat="1">
      <c r="C5067" s="558"/>
      <c r="D5067" s="559"/>
      <c r="E5067" s="559"/>
      <c r="F5067" s="559"/>
      <c r="G5067" s="558"/>
      <c r="H5067" s="559"/>
      <c r="I5067" s="559"/>
      <c r="J5067" s="559"/>
      <c r="K5067" s="560"/>
      <c r="L5067" s="560"/>
      <c r="M5067" s="560"/>
    </row>
    <row r="5068" spans="3:13" s="338" customFormat="1">
      <c r="C5068" s="558"/>
      <c r="D5068" s="559"/>
      <c r="E5068" s="559"/>
      <c r="F5068" s="559"/>
      <c r="G5068" s="558"/>
      <c r="H5068" s="559"/>
      <c r="I5068" s="559"/>
      <c r="J5068" s="559"/>
      <c r="K5068" s="560"/>
      <c r="L5068" s="560"/>
      <c r="M5068" s="560"/>
    </row>
    <row r="5069" spans="3:13" s="338" customFormat="1">
      <c r="C5069" s="558"/>
      <c r="D5069" s="559"/>
      <c r="E5069" s="559"/>
      <c r="F5069" s="559"/>
      <c r="G5069" s="558"/>
      <c r="H5069" s="559"/>
      <c r="I5069" s="559"/>
      <c r="J5069" s="559"/>
      <c r="K5069" s="560"/>
      <c r="L5069" s="560"/>
      <c r="M5069" s="560"/>
    </row>
    <row r="5070" spans="3:13" s="338" customFormat="1">
      <c r="C5070" s="558"/>
      <c r="D5070" s="559"/>
      <c r="E5070" s="559"/>
      <c r="F5070" s="559"/>
      <c r="G5070" s="558"/>
      <c r="H5070" s="559"/>
      <c r="I5070" s="559"/>
      <c r="J5070" s="559"/>
      <c r="K5070" s="560"/>
      <c r="L5070" s="560"/>
      <c r="M5070" s="560"/>
    </row>
    <row r="5071" spans="3:13" s="338" customFormat="1">
      <c r="C5071" s="558"/>
      <c r="D5071" s="559"/>
      <c r="E5071" s="559"/>
      <c r="F5071" s="559"/>
      <c r="G5071" s="558"/>
      <c r="H5071" s="559"/>
      <c r="I5071" s="559"/>
      <c r="J5071" s="559"/>
      <c r="K5071" s="560"/>
      <c r="L5071" s="560"/>
      <c r="M5071" s="560"/>
    </row>
    <row r="5072" spans="3:13" s="338" customFormat="1">
      <c r="C5072" s="558"/>
      <c r="D5072" s="559"/>
      <c r="E5072" s="559"/>
      <c r="F5072" s="559"/>
      <c r="G5072" s="558"/>
      <c r="H5072" s="559"/>
      <c r="I5072" s="559"/>
      <c r="J5072" s="559"/>
      <c r="K5072" s="560"/>
      <c r="L5072" s="560"/>
      <c r="M5072" s="560"/>
    </row>
    <row r="5073" spans="3:13" s="338" customFormat="1">
      <c r="C5073" s="558"/>
      <c r="D5073" s="559"/>
      <c r="E5073" s="559"/>
      <c r="F5073" s="559"/>
      <c r="G5073" s="558"/>
      <c r="H5073" s="559"/>
      <c r="I5073" s="559"/>
      <c r="J5073" s="559"/>
      <c r="K5073" s="560"/>
      <c r="L5073" s="560"/>
      <c r="M5073" s="560"/>
    </row>
    <row r="5074" spans="3:13" s="338" customFormat="1">
      <c r="C5074" s="558"/>
      <c r="D5074" s="559"/>
      <c r="E5074" s="559"/>
      <c r="F5074" s="559"/>
      <c r="G5074" s="558"/>
      <c r="H5074" s="559"/>
      <c r="I5074" s="559"/>
      <c r="J5074" s="559"/>
      <c r="K5074" s="560"/>
      <c r="L5074" s="560"/>
      <c r="M5074" s="560"/>
    </row>
    <row r="5075" spans="3:13" s="338" customFormat="1">
      <c r="C5075" s="558"/>
      <c r="D5075" s="559"/>
      <c r="E5075" s="559"/>
      <c r="F5075" s="559"/>
      <c r="G5075" s="558"/>
      <c r="H5075" s="559"/>
      <c r="I5075" s="559"/>
      <c r="J5075" s="559"/>
      <c r="K5075" s="560"/>
      <c r="L5075" s="560"/>
      <c r="M5075" s="560"/>
    </row>
    <row r="5076" spans="3:13" s="338" customFormat="1">
      <c r="C5076" s="558"/>
      <c r="D5076" s="559"/>
      <c r="E5076" s="559"/>
      <c r="F5076" s="559"/>
      <c r="G5076" s="558"/>
      <c r="H5076" s="559"/>
      <c r="I5076" s="559"/>
      <c r="J5076" s="559"/>
      <c r="K5076" s="560"/>
      <c r="L5076" s="560"/>
      <c r="M5076" s="560"/>
    </row>
    <row r="5077" spans="3:13" s="338" customFormat="1">
      <c r="C5077" s="558"/>
      <c r="D5077" s="559"/>
      <c r="E5077" s="559"/>
      <c r="F5077" s="559"/>
      <c r="G5077" s="558"/>
      <c r="H5077" s="559"/>
      <c r="I5077" s="559"/>
      <c r="J5077" s="559"/>
      <c r="K5077" s="560"/>
      <c r="L5077" s="560"/>
      <c r="M5077" s="560"/>
    </row>
    <row r="5078" spans="3:13" s="338" customFormat="1">
      <c r="C5078" s="558"/>
      <c r="D5078" s="559"/>
      <c r="E5078" s="559"/>
      <c r="F5078" s="559"/>
      <c r="G5078" s="558"/>
      <c r="H5078" s="559"/>
      <c r="I5078" s="559"/>
      <c r="J5078" s="559"/>
      <c r="K5078" s="560"/>
      <c r="L5078" s="560"/>
      <c r="M5078" s="560"/>
    </row>
    <row r="5079" spans="3:13" s="338" customFormat="1">
      <c r="C5079" s="558"/>
      <c r="D5079" s="559"/>
      <c r="E5079" s="559"/>
      <c r="F5079" s="559"/>
      <c r="G5079" s="558"/>
      <c r="H5079" s="559"/>
      <c r="I5079" s="559"/>
      <c r="J5079" s="559"/>
      <c r="K5079" s="560"/>
      <c r="L5079" s="560"/>
      <c r="M5079" s="560"/>
    </row>
    <row r="5080" spans="3:13" s="338" customFormat="1">
      <c r="C5080" s="558"/>
      <c r="D5080" s="559"/>
      <c r="E5080" s="559"/>
      <c r="F5080" s="559"/>
      <c r="G5080" s="558"/>
      <c r="H5080" s="559"/>
      <c r="I5080" s="559"/>
      <c r="J5080" s="559"/>
      <c r="K5080" s="560"/>
      <c r="L5080" s="560"/>
      <c r="M5080" s="560"/>
    </row>
    <row r="5081" spans="3:13" s="338" customFormat="1">
      <c r="C5081" s="558"/>
      <c r="D5081" s="559"/>
      <c r="E5081" s="559"/>
      <c r="F5081" s="559"/>
      <c r="G5081" s="558"/>
      <c r="H5081" s="559"/>
      <c r="I5081" s="559"/>
      <c r="J5081" s="559"/>
      <c r="K5081" s="560"/>
      <c r="L5081" s="560"/>
      <c r="M5081" s="560"/>
    </row>
    <row r="5082" spans="3:13" s="338" customFormat="1">
      <c r="C5082" s="558"/>
      <c r="D5082" s="559"/>
      <c r="E5082" s="559"/>
      <c r="F5082" s="559"/>
      <c r="G5082" s="558"/>
      <c r="H5082" s="559"/>
      <c r="I5082" s="559"/>
      <c r="J5082" s="559"/>
      <c r="K5082" s="560"/>
      <c r="L5082" s="560"/>
      <c r="M5082" s="560"/>
    </row>
    <row r="5083" spans="3:13" s="338" customFormat="1">
      <c r="C5083" s="558"/>
      <c r="D5083" s="559"/>
      <c r="E5083" s="559"/>
      <c r="F5083" s="559"/>
      <c r="G5083" s="558"/>
      <c r="H5083" s="559"/>
      <c r="I5083" s="559"/>
      <c r="J5083" s="559"/>
      <c r="K5083" s="560"/>
      <c r="L5083" s="560"/>
      <c r="M5083" s="560"/>
    </row>
    <row r="5084" spans="3:13" s="338" customFormat="1">
      <c r="C5084" s="558"/>
      <c r="D5084" s="559"/>
      <c r="E5084" s="559"/>
      <c r="F5084" s="559"/>
      <c r="G5084" s="558"/>
      <c r="H5084" s="559"/>
      <c r="I5084" s="559"/>
      <c r="J5084" s="559"/>
      <c r="K5084" s="560"/>
      <c r="L5084" s="560"/>
      <c r="M5084" s="560"/>
    </row>
    <row r="5085" spans="3:13" s="338" customFormat="1">
      <c r="C5085" s="558"/>
      <c r="D5085" s="559"/>
      <c r="E5085" s="559"/>
      <c r="F5085" s="559"/>
      <c r="G5085" s="558"/>
      <c r="H5085" s="559"/>
      <c r="I5085" s="559"/>
      <c r="J5085" s="559"/>
      <c r="K5085" s="560"/>
      <c r="L5085" s="560"/>
      <c r="M5085" s="560"/>
    </row>
    <row r="5086" spans="3:13" s="338" customFormat="1">
      <c r="C5086" s="558"/>
      <c r="D5086" s="559"/>
      <c r="E5086" s="559"/>
      <c r="F5086" s="559"/>
      <c r="G5086" s="558"/>
      <c r="H5086" s="559"/>
      <c r="I5086" s="559"/>
      <c r="J5086" s="559"/>
      <c r="K5086" s="560"/>
      <c r="L5086" s="560"/>
      <c r="M5086" s="560"/>
    </row>
    <row r="5087" spans="3:13" s="338" customFormat="1">
      <c r="C5087" s="558"/>
      <c r="D5087" s="559"/>
      <c r="E5087" s="559"/>
      <c r="F5087" s="559"/>
      <c r="G5087" s="558"/>
      <c r="H5087" s="559"/>
      <c r="I5087" s="559"/>
      <c r="J5087" s="559"/>
      <c r="K5087" s="560"/>
      <c r="L5087" s="560"/>
      <c r="M5087" s="560"/>
    </row>
    <row r="5088" spans="3:13" s="338" customFormat="1">
      <c r="C5088" s="558"/>
      <c r="D5088" s="559"/>
      <c r="E5088" s="559"/>
      <c r="F5088" s="559"/>
      <c r="G5088" s="558"/>
      <c r="H5088" s="559"/>
      <c r="I5088" s="559"/>
      <c r="J5088" s="559"/>
      <c r="K5088" s="560"/>
      <c r="L5088" s="560"/>
      <c r="M5088" s="560"/>
    </row>
    <row r="5089" spans="3:13" s="338" customFormat="1">
      <c r="C5089" s="558"/>
      <c r="D5089" s="559"/>
      <c r="E5089" s="559"/>
      <c r="F5089" s="559"/>
      <c r="G5089" s="558"/>
      <c r="H5089" s="559"/>
      <c r="I5089" s="559"/>
      <c r="J5089" s="559"/>
      <c r="K5089" s="560"/>
      <c r="L5089" s="560"/>
      <c r="M5089" s="560"/>
    </row>
    <row r="5090" spans="3:13" s="338" customFormat="1">
      <c r="C5090" s="558"/>
      <c r="D5090" s="559"/>
      <c r="E5090" s="559"/>
      <c r="F5090" s="559"/>
      <c r="G5090" s="558"/>
      <c r="H5090" s="559"/>
      <c r="I5090" s="559"/>
      <c r="J5090" s="559"/>
      <c r="K5090" s="560"/>
      <c r="L5090" s="560"/>
      <c r="M5090" s="560"/>
    </row>
    <row r="5091" spans="3:13" s="338" customFormat="1">
      <c r="C5091" s="558"/>
      <c r="D5091" s="559"/>
      <c r="E5091" s="559"/>
      <c r="F5091" s="559"/>
      <c r="G5091" s="558"/>
      <c r="H5091" s="559"/>
      <c r="I5091" s="559"/>
      <c r="J5091" s="559"/>
      <c r="K5091" s="560"/>
      <c r="L5091" s="560"/>
      <c r="M5091" s="560"/>
    </row>
    <row r="5092" spans="3:13" s="338" customFormat="1">
      <c r="C5092" s="558"/>
      <c r="D5092" s="559"/>
      <c r="E5092" s="559"/>
      <c r="F5092" s="559"/>
      <c r="G5092" s="558"/>
      <c r="H5092" s="559"/>
      <c r="I5092" s="559"/>
      <c r="J5092" s="559"/>
      <c r="K5092" s="560"/>
      <c r="L5092" s="560"/>
      <c r="M5092" s="560"/>
    </row>
    <row r="5093" spans="3:13" s="338" customFormat="1">
      <c r="C5093" s="558"/>
      <c r="D5093" s="559"/>
      <c r="E5093" s="559"/>
      <c r="F5093" s="559"/>
      <c r="G5093" s="558"/>
      <c r="H5093" s="559"/>
      <c r="I5093" s="559"/>
      <c r="J5093" s="559"/>
      <c r="K5093" s="560"/>
      <c r="L5093" s="560"/>
      <c r="M5093" s="560"/>
    </row>
    <row r="5094" spans="3:13" s="338" customFormat="1">
      <c r="C5094" s="558"/>
      <c r="D5094" s="559"/>
      <c r="E5094" s="559"/>
      <c r="F5094" s="559"/>
      <c r="G5094" s="558"/>
      <c r="H5094" s="559"/>
      <c r="I5094" s="559"/>
      <c r="J5094" s="559"/>
      <c r="K5094" s="560"/>
      <c r="L5094" s="560"/>
      <c r="M5094" s="560"/>
    </row>
    <row r="5095" spans="3:13" s="338" customFormat="1">
      <c r="C5095" s="558"/>
      <c r="D5095" s="559"/>
      <c r="E5095" s="559"/>
      <c r="F5095" s="559"/>
      <c r="G5095" s="558"/>
      <c r="H5095" s="559"/>
      <c r="I5095" s="559"/>
      <c r="J5095" s="559"/>
      <c r="K5095" s="560"/>
      <c r="L5095" s="560"/>
      <c r="M5095" s="560"/>
    </row>
    <row r="5096" spans="3:13" s="338" customFormat="1">
      <c r="C5096" s="558"/>
      <c r="D5096" s="559"/>
      <c r="E5096" s="559"/>
      <c r="F5096" s="559"/>
      <c r="G5096" s="558"/>
      <c r="H5096" s="559"/>
      <c r="I5096" s="559"/>
      <c r="J5096" s="559"/>
      <c r="K5096" s="560"/>
      <c r="L5096" s="560"/>
      <c r="M5096" s="560"/>
    </row>
    <row r="5097" spans="3:13" s="338" customFormat="1">
      <c r="C5097" s="558"/>
      <c r="D5097" s="559"/>
      <c r="E5097" s="559"/>
      <c r="F5097" s="559"/>
      <c r="G5097" s="558"/>
      <c r="H5097" s="559"/>
      <c r="I5097" s="559"/>
      <c r="J5097" s="559"/>
      <c r="K5097" s="560"/>
      <c r="L5097" s="560"/>
      <c r="M5097" s="560"/>
    </row>
    <row r="5098" spans="3:13" s="338" customFormat="1">
      <c r="C5098" s="558"/>
      <c r="D5098" s="559"/>
      <c r="E5098" s="559"/>
      <c r="F5098" s="559"/>
      <c r="G5098" s="558"/>
      <c r="H5098" s="559"/>
      <c r="I5098" s="559"/>
      <c r="J5098" s="559"/>
      <c r="K5098" s="560"/>
      <c r="L5098" s="560"/>
      <c r="M5098" s="560"/>
    </row>
    <row r="5099" spans="3:13" s="338" customFormat="1">
      <c r="C5099" s="558"/>
      <c r="D5099" s="559"/>
      <c r="E5099" s="559"/>
      <c r="F5099" s="559"/>
      <c r="G5099" s="558"/>
      <c r="H5099" s="559"/>
      <c r="I5099" s="559"/>
      <c r="J5099" s="559"/>
      <c r="K5099" s="560"/>
      <c r="L5099" s="560"/>
      <c r="M5099" s="560"/>
    </row>
    <row r="5100" spans="3:13" s="338" customFormat="1">
      <c r="C5100" s="558"/>
      <c r="D5100" s="559"/>
      <c r="E5100" s="559"/>
      <c r="F5100" s="559"/>
      <c r="G5100" s="558"/>
      <c r="H5100" s="559"/>
      <c r="I5100" s="559"/>
      <c r="J5100" s="559"/>
      <c r="K5100" s="560"/>
      <c r="L5100" s="560"/>
      <c r="M5100" s="560"/>
    </row>
    <row r="5101" spans="3:13" s="338" customFormat="1">
      <c r="C5101" s="558"/>
      <c r="D5101" s="559"/>
      <c r="E5101" s="559"/>
      <c r="F5101" s="559"/>
      <c r="G5101" s="558"/>
      <c r="H5101" s="559"/>
      <c r="I5101" s="559"/>
      <c r="J5101" s="559"/>
      <c r="K5101" s="560"/>
      <c r="L5101" s="560"/>
      <c r="M5101" s="560"/>
    </row>
    <row r="5102" spans="3:13" s="338" customFormat="1">
      <c r="C5102" s="558"/>
      <c r="D5102" s="559"/>
      <c r="E5102" s="559"/>
      <c r="F5102" s="559"/>
      <c r="G5102" s="558"/>
      <c r="H5102" s="559"/>
      <c r="I5102" s="559"/>
      <c r="J5102" s="559"/>
      <c r="K5102" s="560"/>
      <c r="L5102" s="560"/>
      <c r="M5102" s="560"/>
    </row>
    <row r="5103" spans="3:13" s="338" customFormat="1">
      <c r="C5103" s="558"/>
      <c r="D5103" s="559"/>
      <c r="E5103" s="559"/>
      <c r="F5103" s="559"/>
      <c r="G5103" s="558"/>
      <c r="H5103" s="559"/>
      <c r="I5103" s="559"/>
      <c r="J5103" s="559"/>
      <c r="K5103" s="560"/>
      <c r="L5103" s="560"/>
      <c r="M5103" s="560"/>
    </row>
    <row r="5104" spans="3:13" s="338" customFormat="1">
      <c r="C5104" s="558"/>
      <c r="D5104" s="559"/>
      <c r="E5104" s="559"/>
      <c r="F5104" s="559"/>
      <c r="G5104" s="558"/>
      <c r="H5104" s="559"/>
      <c r="I5104" s="559"/>
      <c r="J5104" s="559"/>
      <c r="K5104" s="560"/>
      <c r="L5104" s="560"/>
      <c r="M5104" s="560"/>
    </row>
    <row r="5105" spans="3:13" s="338" customFormat="1">
      <c r="C5105" s="558"/>
      <c r="D5105" s="559"/>
      <c r="E5105" s="559"/>
      <c r="F5105" s="559"/>
      <c r="G5105" s="558"/>
      <c r="H5105" s="559"/>
      <c r="I5105" s="559"/>
      <c r="J5105" s="559"/>
      <c r="K5105" s="560"/>
      <c r="L5105" s="560"/>
      <c r="M5105" s="560"/>
    </row>
    <row r="5106" spans="3:13" s="338" customFormat="1">
      <c r="C5106" s="558"/>
      <c r="D5106" s="559"/>
      <c r="E5106" s="559"/>
      <c r="F5106" s="559"/>
      <c r="G5106" s="558"/>
      <c r="H5106" s="559"/>
      <c r="I5106" s="559"/>
      <c r="J5106" s="559"/>
      <c r="K5106" s="560"/>
      <c r="L5106" s="560"/>
      <c r="M5106" s="560"/>
    </row>
    <row r="5107" spans="3:13" s="338" customFormat="1">
      <c r="C5107" s="558"/>
      <c r="D5107" s="559"/>
      <c r="E5107" s="559"/>
      <c r="F5107" s="559"/>
      <c r="G5107" s="558"/>
      <c r="H5107" s="559"/>
      <c r="I5107" s="559"/>
      <c r="J5107" s="559"/>
      <c r="K5107" s="560"/>
      <c r="L5107" s="560"/>
      <c r="M5107" s="560"/>
    </row>
    <row r="5108" spans="3:13" s="338" customFormat="1">
      <c r="C5108" s="558"/>
      <c r="D5108" s="559"/>
      <c r="E5108" s="559"/>
      <c r="F5108" s="559"/>
      <c r="G5108" s="558"/>
      <c r="H5108" s="559"/>
      <c r="I5108" s="559"/>
      <c r="J5108" s="559"/>
      <c r="K5108" s="560"/>
      <c r="L5108" s="560"/>
      <c r="M5108" s="560"/>
    </row>
    <row r="5109" spans="3:13" s="338" customFormat="1">
      <c r="C5109" s="558"/>
      <c r="D5109" s="559"/>
      <c r="E5109" s="559"/>
      <c r="F5109" s="559"/>
      <c r="G5109" s="558"/>
      <c r="H5109" s="559"/>
      <c r="I5109" s="559"/>
      <c r="J5109" s="559"/>
      <c r="K5109" s="560"/>
      <c r="L5109" s="560"/>
      <c r="M5109" s="560"/>
    </row>
    <row r="5110" spans="3:13" s="338" customFormat="1">
      <c r="C5110" s="558"/>
      <c r="D5110" s="559"/>
      <c r="E5110" s="559"/>
      <c r="F5110" s="559"/>
      <c r="G5110" s="558"/>
      <c r="H5110" s="559"/>
      <c r="I5110" s="559"/>
      <c r="J5110" s="559"/>
      <c r="K5110" s="560"/>
      <c r="L5110" s="560"/>
      <c r="M5110" s="560"/>
    </row>
    <row r="5111" spans="3:13" s="338" customFormat="1">
      <c r="C5111" s="558"/>
      <c r="D5111" s="559"/>
      <c r="E5111" s="559"/>
      <c r="F5111" s="559"/>
      <c r="G5111" s="558"/>
      <c r="H5111" s="559"/>
      <c r="I5111" s="559"/>
      <c r="J5111" s="559"/>
      <c r="K5111" s="560"/>
      <c r="L5111" s="560"/>
      <c r="M5111" s="560"/>
    </row>
    <row r="5112" spans="3:13" s="338" customFormat="1">
      <c r="C5112" s="558"/>
      <c r="D5112" s="559"/>
      <c r="E5112" s="559"/>
      <c r="F5112" s="559"/>
      <c r="G5112" s="558"/>
      <c r="H5112" s="559"/>
      <c r="I5112" s="559"/>
      <c r="J5112" s="559"/>
      <c r="K5112" s="560"/>
      <c r="L5112" s="560"/>
      <c r="M5112" s="560"/>
    </row>
    <row r="5113" spans="3:13" s="338" customFormat="1">
      <c r="C5113" s="558"/>
      <c r="D5113" s="559"/>
      <c r="E5113" s="559"/>
      <c r="F5113" s="559"/>
      <c r="G5113" s="558"/>
      <c r="H5113" s="559"/>
      <c r="I5113" s="559"/>
      <c r="J5113" s="559"/>
      <c r="K5113" s="560"/>
      <c r="L5113" s="560"/>
      <c r="M5113" s="560"/>
    </row>
    <row r="5114" spans="3:13" s="338" customFormat="1">
      <c r="C5114" s="558"/>
      <c r="D5114" s="559"/>
      <c r="E5114" s="559"/>
      <c r="F5114" s="559"/>
      <c r="G5114" s="558"/>
      <c r="H5114" s="559"/>
      <c r="I5114" s="559"/>
      <c r="J5114" s="559"/>
      <c r="K5114" s="560"/>
      <c r="L5114" s="560"/>
      <c r="M5114" s="560"/>
    </row>
    <row r="5115" spans="3:13" s="338" customFormat="1">
      <c r="C5115" s="558"/>
      <c r="D5115" s="559"/>
      <c r="E5115" s="559"/>
      <c r="F5115" s="559"/>
      <c r="G5115" s="558"/>
      <c r="H5115" s="559"/>
      <c r="I5115" s="559"/>
      <c r="J5115" s="559"/>
      <c r="K5115" s="560"/>
      <c r="L5115" s="560"/>
      <c r="M5115" s="560"/>
    </row>
    <row r="5116" spans="3:13" s="338" customFormat="1">
      <c r="C5116" s="558"/>
      <c r="D5116" s="559"/>
      <c r="E5116" s="559"/>
      <c r="F5116" s="559"/>
      <c r="G5116" s="558"/>
      <c r="H5116" s="559"/>
      <c r="I5116" s="559"/>
      <c r="J5116" s="559"/>
      <c r="K5116" s="560"/>
      <c r="L5116" s="560"/>
      <c r="M5116" s="560"/>
    </row>
    <row r="5117" spans="3:13" s="338" customFormat="1">
      <c r="C5117" s="558"/>
      <c r="D5117" s="559"/>
      <c r="E5117" s="559"/>
      <c r="F5117" s="559"/>
      <c r="G5117" s="558"/>
      <c r="H5117" s="559"/>
      <c r="I5117" s="559"/>
      <c r="J5117" s="559"/>
      <c r="K5117" s="560"/>
      <c r="L5117" s="560"/>
      <c r="M5117" s="560"/>
    </row>
    <row r="5118" spans="3:13" s="338" customFormat="1">
      <c r="C5118" s="558"/>
      <c r="D5118" s="559"/>
      <c r="E5118" s="559"/>
      <c r="F5118" s="559"/>
      <c r="G5118" s="558"/>
      <c r="H5118" s="559"/>
      <c r="I5118" s="559"/>
      <c r="J5118" s="559"/>
      <c r="K5118" s="560"/>
      <c r="L5118" s="560"/>
      <c r="M5118" s="560"/>
    </row>
    <row r="5119" spans="3:13" s="338" customFormat="1">
      <c r="C5119" s="558"/>
      <c r="D5119" s="559"/>
      <c r="E5119" s="559"/>
      <c r="F5119" s="559"/>
      <c r="G5119" s="558"/>
      <c r="H5119" s="559"/>
      <c r="I5119" s="559"/>
      <c r="J5119" s="559"/>
      <c r="K5119" s="560"/>
      <c r="L5119" s="560"/>
      <c r="M5119" s="560"/>
    </row>
    <row r="5120" spans="3:13" s="338" customFormat="1">
      <c r="C5120" s="558"/>
      <c r="D5120" s="559"/>
      <c r="E5120" s="559"/>
      <c r="F5120" s="559"/>
      <c r="G5120" s="558"/>
      <c r="H5120" s="559"/>
      <c r="I5120" s="559"/>
      <c r="J5120" s="559"/>
      <c r="K5120" s="560"/>
      <c r="L5120" s="560"/>
      <c r="M5120" s="560"/>
    </row>
    <row r="5121" spans="3:13" s="338" customFormat="1">
      <c r="C5121" s="558"/>
      <c r="D5121" s="559"/>
      <c r="E5121" s="559"/>
      <c r="F5121" s="559"/>
      <c r="G5121" s="558"/>
      <c r="H5121" s="559"/>
      <c r="I5121" s="559"/>
      <c r="J5121" s="559"/>
      <c r="K5121" s="560"/>
      <c r="L5121" s="560"/>
      <c r="M5121" s="560"/>
    </row>
    <row r="5122" spans="3:13" s="338" customFormat="1">
      <c r="C5122" s="558"/>
      <c r="D5122" s="559"/>
      <c r="E5122" s="559"/>
      <c r="F5122" s="559"/>
      <c r="G5122" s="558"/>
      <c r="H5122" s="559"/>
      <c r="I5122" s="559"/>
      <c r="J5122" s="559"/>
      <c r="K5122" s="560"/>
      <c r="L5122" s="560"/>
      <c r="M5122" s="560"/>
    </row>
    <row r="5123" spans="3:13" s="338" customFormat="1">
      <c r="C5123" s="558"/>
      <c r="D5123" s="559"/>
      <c r="E5123" s="559"/>
      <c r="F5123" s="559"/>
      <c r="G5123" s="558"/>
      <c r="H5123" s="559"/>
      <c r="I5123" s="559"/>
      <c r="J5123" s="559"/>
      <c r="K5123" s="560"/>
      <c r="L5123" s="560"/>
      <c r="M5123" s="560"/>
    </row>
    <row r="5124" spans="3:13" s="338" customFormat="1">
      <c r="C5124" s="558"/>
      <c r="D5124" s="559"/>
      <c r="E5124" s="559"/>
      <c r="F5124" s="559"/>
      <c r="G5124" s="558"/>
      <c r="H5124" s="559"/>
      <c r="I5124" s="559"/>
      <c r="J5124" s="559"/>
      <c r="K5124" s="560"/>
      <c r="L5124" s="560"/>
      <c r="M5124" s="560"/>
    </row>
    <row r="5125" spans="3:13" s="338" customFormat="1">
      <c r="C5125" s="558"/>
      <c r="D5125" s="559"/>
      <c r="E5125" s="559"/>
      <c r="F5125" s="559"/>
      <c r="G5125" s="558"/>
      <c r="H5125" s="559"/>
      <c r="I5125" s="559"/>
      <c r="J5125" s="559"/>
      <c r="K5125" s="560"/>
      <c r="L5125" s="560"/>
      <c r="M5125" s="560"/>
    </row>
    <row r="5126" spans="3:13" s="338" customFormat="1">
      <c r="C5126" s="558"/>
      <c r="D5126" s="559"/>
      <c r="E5126" s="559"/>
      <c r="F5126" s="559"/>
      <c r="G5126" s="558"/>
      <c r="H5126" s="559"/>
      <c r="I5126" s="559"/>
      <c r="J5126" s="559"/>
      <c r="K5126" s="560"/>
      <c r="L5126" s="560"/>
      <c r="M5126" s="560"/>
    </row>
    <row r="5127" spans="3:13" s="338" customFormat="1">
      <c r="C5127" s="558"/>
      <c r="D5127" s="559"/>
      <c r="E5127" s="559"/>
      <c r="F5127" s="559"/>
      <c r="G5127" s="558"/>
      <c r="H5127" s="559"/>
      <c r="I5127" s="559"/>
      <c r="J5127" s="559"/>
      <c r="K5127" s="560"/>
      <c r="L5127" s="560"/>
      <c r="M5127" s="560"/>
    </row>
    <row r="5128" spans="3:13" s="338" customFormat="1">
      <c r="C5128" s="558"/>
      <c r="D5128" s="559"/>
      <c r="E5128" s="559"/>
      <c r="F5128" s="559"/>
      <c r="G5128" s="558"/>
      <c r="H5128" s="559"/>
      <c r="I5128" s="559"/>
      <c r="J5128" s="559"/>
      <c r="K5128" s="560"/>
      <c r="L5128" s="560"/>
      <c r="M5128" s="560"/>
    </row>
    <row r="5129" spans="3:13" s="338" customFormat="1">
      <c r="C5129" s="558"/>
      <c r="D5129" s="559"/>
      <c r="E5129" s="559"/>
      <c r="F5129" s="559"/>
      <c r="G5129" s="558"/>
      <c r="H5129" s="559"/>
      <c r="I5129" s="559"/>
      <c r="J5129" s="559"/>
      <c r="K5129" s="560"/>
      <c r="L5129" s="560"/>
      <c r="M5129" s="560"/>
    </row>
    <row r="5130" spans="3:13" s="338" customFormat="1">
      <c r="C5130" s="558"/>
      <c r="D5130" s="559"/>
      <c r="E5130" s="559"/>
      <c r="F5130" s="559"/>
      <c r="G5130" s="558"/>
      <c r="H5130" s="559"/>
      <c r="I5130" s="559"/>
      <c r="J5130" s="559"/>
      <c r="K5130" s="560"/>
      <c r="L5130" s="560"/>
      <c r="M5130" s="560"/>
    </row>
    <row r="5131" spans="3:13" s="338" customFormat="1">
      <c r="C5131" s="558"/>
      <c r="D5131" s="559"/>
      <c r="E5131" s="559"/>
      <c r="F5131" s="559"/>
      <c r="G5131" s="558"/>
      <c r="H5131" s="559"/>
      <c r="I5131" s="559"/>
      <c r="J5131" s="559"/>
      <c r="K5131" s="560"/>
      <c r="L5131" s="560"/>
      <c r="M5131" s="560"/>
    </row>
    <row r="5132" spans="3:13" s="338" customFormat="1">
      <c r="C5132" s="558"/>
      <c r="D5132" s="559"/>
      <c r="E5132" s="559"/>
      <c r="F5132" s="559"/>
      <c r="G5132" s="558"/>
      <c r="H5132" s="559"/>
      <c r="I5132" s="559"/>
      <c r="J5132" s="559"/>
      <c r="K5132" s="560"/>
      <c r="L5132" s="560"/>
      <c r="M5132" s="560"/>
    </row>
    <row r="5133" spans="3:13" s="338" customFormat="1">
      <c r="C5133" s="558"/>
      <c r="D5133" s="559"/>
      <c r="E5133" s="559"/>
      <c r="F5133" s="559"/>
      <c r="G5133" s="558"/>
      <c r="H5133" s="559"/>
      <c r="I5133" s="559"/>
      <c r="J5133" s="559"/>
      <c r="K5133" s="560"/>
      <c r="L5133" s="560"/>
      <c r="M5133" s="560"/>
    </row>
    <row r="5134" spans="3:13" s="338" customFormat="1">
      <c r="C5134" s="558"/>
      <c r="D5134" s="559"/>
      <c r="E5134" s="559"/>
      <c r="F5134" s="559"/>
      <c r="G5134" s="558"/>
      <c r="H5134" s="559"/>
      <c r="I5134" s="559"/>
      <c r="J5134" s="559"/>
      <c r="K5134" s="560"/>
      <c r="L5134" s="560"/>
      <c r="M5134" s="560"/>
    </row>
    <row r="5135" spans="3:13" s="338" customFormat="1">
      <c r="C5135" s="558"/>
      <c r="D5135" s="559"/>
      <c r="E5135" s="559"/>
      <c r="F5135" s="559"/>
      <c r="G5135" s="558"/>
      <c r="H5135" s="559"/>
      <c r="I5135" s="559"/>
      <c r="J5135" s="559"/>
      <c r="K5135" s="560"/>
      <c r="L5135" s="560"/>
      <c r="M5135" s="560"/>
    </row>
    <row r="5136" spans="3:13" s="338" customFormat="1">
      <c r="C5136" s="558"/>
      <c r="D5136" s="559"/>
      <c r="E5136" s="559"/>
      <c r="F5136" s="559"/>
      <c r="G5136" s="558"/>
      <c r="H5136" s="559"/>
      <c r="I5136" s="559"/>
      <c r="J5136" s="559"/>
      <c r="K5136" s="560"/>
      <c r="L5136" s="560"/>
      <c r="M5136" s="560"/>
    </row>
    <row r="5137" spans="3:13" s="338" customFormat="1">
      <c r="C5137" s="558"/>
      <c r="D5137" s="559"/>
      <c r="E5137" s="559"/>
      <c r="F5137" s="559"/>
      <c r="G5137" s="558"/>
      <c r="H5137" s="559"/>
      <c r="I5137" s="559"/>
      <c r="J5137" s="559"/>
      <c r="K5137" s="560"/>
      <c r="L5137" s="560"/>
      <c r="M5137" s="560"/>
    </row>
    <row r="5138" spans="3:13" s="338" customFormat="1">
      <c r="C5138" s="558"/>
      <c r="D5138" s="559"/>
      <c r="E5138" s="559"/>
      <c r="F5138" s="559"/>
      <c r="G5138" s="558"/>
      <c r="H5138" s="559"/>
      <c r="I5138" s="559"/>
      <c r="J5138" s="559"/>
      <c r="K5138" s="560"/>
      <c r="L5138" s="560"/>
      <c r="M5138" s="560"/>
    </row>
    <row r="5139" spans="3:13" s="338" customFormat="1">
      <c r="C5139" s="558"/>
      <c r="D5139" s="559"/>
      <c r="E5139" s="559"/>
      <c r="F5139" s="559"/>
      <c r="G5139" s="558"/>
      <c r="H5139" s="559"/>
      <c r="I5139" s="559"/>
      <c r="J5139" s="559"/>
      <c r="K5139" s="560"/>
      <c r="L5139" s="560"/>
      <c r="M5139" s="560"/>
    </row>
    <row r="5140" spans="3:13" s="338" customFormat="1">
      <c r="C5140" s="558"/>
      <c r="D5140" s="559"/>
      <c r="E5140" s="559"/>
      <c r="F5140" s="559"/>
      <c r="G5140" s="558"/>
      <c r="H5140" s="559"/>
      <c r="I5140" s="559"/>
      <c r="J5140" s="559"/>
      <c r="K5140" s="560"/>
      <c r="L5140" s="560"/>
      <c r="M5140" s="560"/>
    </row>
    <row r="5141" spans="3:13" s="338" customFormat="1">
      <c r="C5141" s="558"/>
      <c r="D5141" s="559"/>
      <c r="E5141" s="559"/>
      <c r="F5141" s="559"/>
      <c r="G5141" s="558"/>
      <c r="H5141" s="559"/>
      <c r="I5141" s="559"/>
      <c r="J5141" s="559"/>
      <c r="K5141" s="560"/>
      <c r="L5141" s="560"/>
      <c r="M5141" s="560"/>
    </row>
    <row r="5142" spans="3:13" s="338" customFormat="1">
      <c r="C5142" s="558"/>
      <c r="D5142" s="559"/>
      <c r="E5142" s="559"/>
      <c r="F5142" s="559"/>
      <c r="G5142" s="558"/>
      <c r="H5142" s="559"/>
      <c r="I5142" s="559"/>
      <c r="J5142" s="559"/>
      <c r="K5142" s="560"/>
      <c r="L5142" s="560"/>
      <c r="M5142" s="560"/>
    </row>
    <row r="5143" spans="3:13" s="338" customFormat="1">
      <c r="C5143" s="558"/>
      <c r="D5143" s="559"/>
      <c r="E5143" s="559"/>
      <c r="F5143" s="559"/>
      <c r="G5143" s="558"/>
      <c r="H5143" s="559"/>
      <c r="I5143" s="559"/>
      <c r="J5143" s="559"/>
      <c r="K5143" s="560"/>
      <c r="L5143" s="560"/>
      <c r="M5143" s="560"/>
    </row>
    <row r="5144" spans="3:13" s="338" customFormat="1">
      <c r="C5144" s="558"/>
      <c r="D5144" s="559"/>
      <c r="E5144" s="559"/>
      <c r="F5144" s="559"/>
      <c r="G5144" s="558"/>
      <c r="H5144" s="559"/>
      <c r="I5144" s="559"/>
      <c r="J5144" s="559"/>
      <c r="K5144" s="560"/>
      <c r="L5144" s="560"/>
      <c r="M5144" s="560"/>
    </row>
    <row r="5145" spans="3:13" s="338" customFormat="1">
      <c r="C5145" s="558"/>
      <c r="D5145" s="559"/>
      <c r="E5145" s="559"/>
      <c r="F5145" s="559"/>
      <c r="G5145" s="558"/>
      <c r="H5145" s="559"/>
      <c r="I5145" s="559"/>
      <c r="J5145" s="559"/>
      <c r="K5145" s="560"/>
      <c r="L5145" s="560"/>
      <c r="M5145" s="560"/>
    </row>
    <row r="5146" spans="3:13" s="338" customFormat="1">
      <c r="C5146" s="558"/>
      <c r="D5146" s="559"/>
      <c r="E5146" s="559"/>
      <c r="F5146" s="559"/>
      <c r="G5146" s="558"/>
      <c r="H5146" s="559"/>
      <c r="I5146" s="559"/>
      <c r="J5146" s="559"/>
      <c r="K5146" s="560"/>
      <c r="L5146" s="560"/>
      <c r="M5146" s="560"/>
    </row>
    <row r="5147" spans="3:13" s="338" customFormat="1">
      <c r="C5147" s="558"/>
      <c r="D5147" s="559"/>
      <c r="E5147" s="559"/>
      <c r="F5147" s="559"/>
      <c r="G5147" s="558"/>
      <c r="H5147" s="559"/>
      <c r="I5147" s="559"/>
      <c r="J5147" s="559"/>
      <c r="K5147" s="560"/>
      <c r="L5147" s="560"/>
      <c r="M5147" s="560"/>
    </row>
    <row r="5148" spans="3:13" s="338" customFormat="1">
      <c r="C5148" s="558"/>
      <c r="D5148" s="559"/>
      <c r="E5148" s="559"/>
      <c r="F5148" s="559"/>
      <c r="G5148" s="558"/>
      <c r="H5148" s="559"/>
      <c r="I5148" s="559"/>
      <c r="J5148" s="559"/>
      <c r="K5148" s="560"/>
      <c r="L5148" s="560"/>
      <c r="M5148" s="560"/>
    </row>
    <row r="5149" spans="3:13" s="338" customFormat="1">
      <c r="C5149" s="558"/>
      <c r="D5149" s="559"/>
      <c r="E5149" s="559"/>
      <c r="F5149" s="559"/>
      <c r="G5149" s="558"/>
      <c r="H5149" s="559"/>
      <c r="I5149" s="559"/>
      <c r="J5149" s="559"/>
      <c r="K5149" s="560"/>
      <c r="L5149" s="560"/>
      <c r="M5149" s="560"/>
    </row>
    <row r="5150" spans="3:13" s="338" customFormat="1">
      <c r="C5150" s="558"/>
      <c r="D5150" s="559"/>
      <c r="E5150" s="559"/>
      <c r="F5150" s="559"/>
      <c r="G5150" s="558"/>
      <c r="H5150" s="559"/>
      <c r="I5150" s="559"/>
      <c r="J5150" s="559"/>
      <c r="K5150" s="560"/>
      <c r="L5150" s="560"/>
      <c r="M5150" s="560"/>
    </row>
    <row r="5151" spans="3:13" s="338" customFormat="1">
      <c r="C5151" s="558"/>
      <c r="D5151" s="559"/>
      <c r="E5151" s="559"/>
      <c r="F5151" s="559"/>
      <c r="G5151" s="558"/>
      <c r="H5151" s="559"/>
      <c r="I5151" s="559"/>
      <c r="J5151" s="559"/>
      <c r="K5151" s="560"/>
      <c r="L5151" s="560"/>
      <c r="M5151" s="560"/>
    </row>
    <row r="5152" spans="3:13" s="338" customFormat="1">
      <c r="C5152" s="558"/>
      <c r="D5152" s="559"/>
      <c r="E5152" s="559"/>
      <c r="F5152" s="559"/>
      <c r="G5152" s="558"/>
      <c r="H5152" s="559"/>
      <c r="I5152" s="559"/>
      <c r="J5152" s="559"/>
      <c r="K5152" s="560"/>
      <c r="L5152" s="560"/>
      <c r="M5152" s="560"/>
    </row>
    <row r="5153" spans="3:13" s="338" customFormat="1">
      <c r="C5153" s="558"/>
      <c r="D5153" s="559"/>
      <c r="E5153" s="559"/>
      <c r="F5153" s="559"/>
      <c r="G5153" s="558"/>
      <c r="H5153" s="559"/>
      <c r="I5153" s="559"/>
      <c r="J5153" s="559"/>
      <c r="K5153" s="560"/>
      <c r="L5153" s="560"/>
      <c r="M5153" s="560"/>
    </row>
    <row r="5154" spans="3:13" s="338" customFormat="1">
      <c r="C5154" s="558"/>
      <c r="D5154" s="559"/>
      <c r="E5154" s="559"/>
      <c r="F5154" s="559"/>
      <c r="G5154" s="558"/>
      <c r="H5154" s="559"/>
      <c r="I5154" s="559"/>
      <c r="J5154" s="559"/>
      <c r="K5154" s="560"/>
      <c r="L5154" s="560"/>
      <c r="M5154" s="560"/>
    </row>
    <row r="5155" spans="3:13" s="338" customFormat="1">
      <c r="C5155" s="558"/>
      <c r="D5155" s="559"/>
      <c r="E5155" s="559"/>
      <c r="F5155" s="559"/>
      <c r="G5155" s="558"/>
      <c r="H5155" s="559"/>
      <c r="I5155" s="559"/>
      <c r="J5155" s="559"/>
      <c r="K5155" s="560"/>
      <c r="L5155" s="560"/>
      <c r="M5155" s="560"/>
    </row>
    <row r="5156" spans="3:13" s="338" customFormat="1">
      <c r="C5156" s="558"/>
      <c r="D5156" s="559"/>
      <c r="E5156" s="559"/>
      <c r="F5156" s="559"/>
      <c r="G5156" s="558"/>
      <c r="H5156" s="559"/>
      <c r="I5156" s="559"/>
      <c r="J5156" s="559"/>
      <c r="K5156" s="560"/>
      <c r="L5156" s="560"/>
      <c r="M5156" s="560"/>
    </row>
    <row r="5157" spans="3:13" s="338" customFormat="1">
      <c r="C5157" s="558"/>
      <c r="D5157" s="559"/>
      <c r="E5157" s="559"/>
      <c r="F5157" s="559"/>
      <c r="G5157" s="558"/>
      <c r="H5157" s="559"/>
      <c r="I5157" s="559"/>
      <c r="J5157" s="559"/>
      <c r="K5157" s="560"/>
      <c r="L5157" s="560"/>
      <c r="M5157" s="560"/>
    </row>
    <row r="5158" spans="3:13" s="338" customFormat="1">
      <c r="C5158" s="558"/>
      <c r="D5158" s="559"/>
      <c r="E5158" s="559"/>
      <c r="F5158" s="559"/>
      <c r="G5158" s="558"/>
      <c r="H5158" s="559"/>
      <c r="I5158" s="559"/>
      <c r="J5158" s="559"/>
      <c r="K5158" s="560"/>
      <c r="L5158" s="560"/>
      <c r="M5158" s="560"/>
    </row>
    <row r="5159" spans="3:13" s="338" customFormat="1">
      <c r="C5159" s="558"/>
      <c r="D5159" s="559"/>
      <c r="E5159" s="559"/>
      <c r="F5159" s="559"/>
      <c r="G5159" s="558"/>
      <c r="H5159" s="559"/>
      <c r="I5159" s="559"/>
      <c r="J5159" s="559"/>
      <c r="K5159" s="560"/>
      <c r="L5159" s="560"/>
      <c r="M5159" s="560"/>
    </row>
    <row r="5160" spans="3:13" s="338" customFormat="1">
      <c r="C5160" s="558"/>
      <c r="D5160" s="559"/>
      <c r="E5160" s="559"/>
      <c r="F5160" s="559"/>
      <c r="G5160" s="558"/>
      <c r="H5160" s="559"/>
      <c r="I5160" s="559"/>
      <c r="J5160" s="559"/>
      <c r="K5160" s="560"/>
      <c r="L5160" s="560"/>
      <c r="M5160" s="560"/>
    </row>
    <row r="5161" spans="3:13" s="338" customFormat="1">
      <c r="C5161" s="558"/>
      <c r="D5161" s="559"/>
      <c r="E5161" s="559"/>
      <c r="F5161" s="559"/>
      <c r="G5161" s="558"/>
      <c r="H5161" s="559"/>
      <c r="I5161" s="559"/>
      <c r="J5161" s="559"/>
      <c r="K5161" s="560"/>
      <c r="L5161" s="560"/>
      <c r="M5161" s="560"/>
    </row>
    <row r="5162" spans="3:13" s="338" customFormat="1">
      <c r="C5162" s="558"/>
      <c r="D5162" s="559"/>
      <c r="E5162" s="559"/>
      <c r="F5162" s="559"/>
      <c r="G5162" s="558"/>
      <c r="H5162" s="559"/>
      <c r="I5162" s="559"/>
      <c r="J5162" s="559"/>
      <c r="K5162" s="560"/>
      <c r="L5162" s="560"/>
      <c r="M5162" s="560"/>
    </row>
    <row r="5163" spans="3:13" s="338" customFormat="1">
      <c r="C5163" s="558"/>
      <c r="D5163" s="559"/>
      <c r="E5163" s="559"/>
      <c r="F5163" s="559"/>
      <c r="G5163" s="558"/>
      <c r="H5163" s="559"/>
      <c r="I5163" s="559"/>
      <c r="J5163" s="559"/>
      <c r="K5163" s="560"/>
      <c r="L5163" s="560"/>
      <c r="M5163" s="560"/>
    </row>
    <row r="5164" spans="3:13" s="338" customFormat="1">
      <c r="C5164" s="558"/>
      <c r="D5164" s="559"/>
      <c r="E5164" s="559"/>
      <c r="F5164" s="559"/>
      <c r="G5164" s="558"/>
      <c r="H5164" s="559"/>
      <c r="I5164" s="559"/>
      <c r="J5164" s="559"/>
      <c r="K5164" s="560"/>
      <c r="L5164" s="560"/>
      <c r="M5164" s="560"/>
    </row>
    <row r="5165" spans="3:13" s="338" customFormat="1">
      <c r="C5165" s="558"/>
      <c r="D5165" s="559"/>
      <c r="E5165" s="559"/>
      <c r="F5165" s="559"/>
      <c r="G5165" s="558"/>
      <c r="H5165" s="559"/>
      <c r="I5165" s="559"/>
      <c r="J5165" s="559"/>
      <c r="K5165" s="560"/>
      <c r="L5165" s="560"/>
      <c r="M5165" s="560"/>
    </row>
    <row r="5166" spans="3:13" s="338" customFormat="1">
      <c r="C5166" s="558"/>
      <c r="D5166" s="559"/>
      <c r="E5166" s="559"/>
      <c r="F5166" s="559"/>
      <c r="G5166" s="558"/>
      <c r="H5166" s="559"/>
      <c r="I5166" s="559"/>
      <c r="J5166" s="559"/>
      <c r="K5166" s="560"/>
      <c r="L5166" s="560"/>
      <c r="M5166" s="560"/>
    </row>
    <row r="5167" spans="3:13" s="338" customFormat="1">
      <c r="C5167" s="558"/>
      <c r="D5167" s="559"/>
      <c r="E5167" s="559"/>
      <c r="F5167" s="559"/>
      <c r="G5167" s="558"/>
      <c r="H5167" s="559"/>
      <c r="I5167" s="559"/>
      <c r="J5167" s="559"/>
      <c r="K5167" s="560"/>
      <c r="L5167" s="560"/>
      <c r="M5167" s="560"/>
    </row>
    <row r="5168" spans="3:13" s="338" customFormat="1">
      <c r="C5168" s="558"/>
      <c r="D5168" s="559"/>
      <c r="E5168" s="559"/>
      <c r="F5168" s="559"/>
      <c r="G5168" s="558"/>
      <c r="H5168" s="559"/>
      <c r="I5168" s="559"/>
      <c r="J5168" s="559"/>
      <c r="K5168" s="560"/>
      <c r="L5168" s="560"/>
      <c r="M5168" s="560"/>
    </row>
    <row r="5169" spans="3:13" s="338" customFormat="1">
      <c r="C5169" s="558"/>
      <c r="D5169" s="559"/>
      <c r="E5169" s="559"/>
      <c r="F5169" s="559"/>
      <c r="G5169" s="558"/>
      <c r="H5169" s="559"/>
      <c r="I5169" s="559"/>
      <c r="J5169" s="559"/>
      <c r="K5169" s="560"/>
      <c r="L5169" s="560"/>
      <c r="M5169" s="560"/>
    </row>
    <row r="5170" spans="3:13" s="338" customFormat="1">
      <c r="C5170" s="558"/>
      <c r="D5170" s="559"/>
      <c r="E5170" s="559"/>
      <c r="F5170" s="559"/>
      <c r="G5170" s="558"/>
      <c r="H5170" s="559"/>
      <c r="I5170" s="559"/>
      <c r="J5170" s="559"/>
      <c r="K5170" s="560"/>
      <c r="L5170" s="560"/>
      <c r="M5170" s="560"/>
    </row>
    <row r="5171" spans="3:13" s="338" customFormat="1">
      <c r="C5171" s="558"/>
      <c r="D5171" s="559"/>
      <c r="E5171" s="559"/>
      <c r="F5171" s="559"/>
      <c r="G5171" s="558"/>
      <c r="H5171" s="559"/>
      <c r="I5171" s="559"/>
      <c r="J5171" s="559"/>
      <c r="K5171" s="560"/>
      <c r="L5171" s="560"/>
      <c r="M5171" s="560"/>
    </row>
    <row r="5172" spans="3:13" s="338" customFormat="1">
      <c r="C5172" s="558"/>
      <c r="D5172" s="559"/>
      <c r="E5172" s="559"/>
      <c r="F5172" s="559"/>
      <c r="G5172" s="558"/>
      <c r="H5172" s="559"/>
      <c r="I5172" s="559"/>
      <c r="J5172" s="559"/>
      <c r="K5172" s="560"/>
      <c r="L5172" s="560"/>
      <c r="M5172" s="560"/>
    </row>
    <row r="5173" spans="3:13" s="338" customFormat="1">
      <c r="C5173" s="558"/>
      <c r="D5173" s="559"/>
      <c r="E5173" s="559"/>
      <c r="F5173" s="559"/>
      <c r="G5173" s="558"/>
      <c r="H5173" s="559"/>
      <c r="I5173" s="559"/>
      <c r="J5173" s="559"/>
      <c r="K5173" s="560"/>
      <c r="L5173" s="560"/>
      <c r="M5173" s="560"/>
    </row>
    <row r="5174" spans="3:13" s="338" customFormat="1">
      <c r="C5174" s="558"/>
      <c r="D5174" s="559"/>
      <c r="E5174" s="559"/>
      <c r="F5174" s="559"/>
      <c r="G5174" s="558"/>
      <c r="H5174" s="559"/>
      <c r="I5174" s="559"/>
      <c r="J5174" s="559"/>
      <c r="K5174" s="560"/>
      <c r="L5174" s="560"/>
      <c r="M5174" s="560"/>
    </row>
    <row r="5175" spans="3:13" s="338" customFormat="1">
      <c r="C5175" s="558"/>
      <c r="D5175" s="559"/>
      <c r="E5175" s="559"/>
      <c r="F5175" s="559"/>
      <c r="G5175" s="558"/>
      <c r="H5175" s="559"/>
      <c r="I5175" s="559"/>
      <c r="J5175" s="559"/>
      <c r="K5175" s="560"/>
      <c r="L5175" s="560"/>
      <c r="M5175" s="560"/>
    </row>
    <row r="5176" spans="3:13" s="338" customFormat="1">
      <c r="C5176" s="558"/>
      <c r="D5176" s="559"/>
      <c r="E5176" s="559"/>
      <c r="F5176" s="559"/>
      <c r="G5176" s="558"/>
      <c r="H5176" s="559"/>
      <c r="I5176" s="559"/>
      <c r="J5176" s="559"/>
      <c r="K5176" s="560"/>
      <c r="L5176" s="560"/>
      <c r="M5176" s="560"/>
    </row>
    <row r="5177" spans="3:13" s="338" customFormat="1">
      <c r="C5177" s="558"/>
      <c r="D5177" s="559"/>
      <c r="E5177" s="559"/>
      <c r="F5177" s="559"/>
      <c r="G5177" s="558"/>
      <c r="H5177" s="559"/>
      <c r="I5177" s="559"/>
      <c r="J5177" s="559"/>
      <c r="K5177" s="560"/>
      <c r="L5177" s="560"/>
      <c r="M5177" s="560"/>
    </row>
    <row r="5178" spans="3:13" s="338" customFormat="1">
      <c r="C5178" s="558"/>
      <c r="D5178" s="559"/>
      <c r="E5178" s="559"/>
      <c r="F5178" s="559"/>
      <c r="G5178" s="558"/>
      <c r="H5178" s="559"/>
      <c r="I5178" s="559"/>
      <c r="J5178" s="559"/>
      <c r="K5178" s="560"/>
      <c r="L5178" s="560"/>
      <c r="M5178" s="560"/>
    </row>
    <row r="5179" spans="3:13" s="338" customFormat="1">
      <c r="C5179" s="558"/>
      <c r="D5179" s="559"/>
      <c r="E5179" s="559"/>
      <c r="F5179" s="559"/>
      <c r="G5179" s="558"/>
      <c r="H5179" s="559"/>
      <c r="I5179" s="559"/>
      <c r="J5179" s="559"/>
      <c r="K5179" s="560"/>
      <c r="L5179" s="560"/>
      <c r="M5179" s="560"/>
    </row>
    <row r="5180" spans="3:13" s="338" customFormat="1">
      <c r="C5180" s="558"/>
      <c r="D5180" s="559"/>
      <c r="E5180" s="559"/>
      <c r="F5180" s="559"/>
      <c r="G5180" s="558"/>
      <c r="H5180" s="559"/>
      <c r="I5180" s="559"/>
      <c r="J5180" s="559"/>
      <c r="K5180" s="560"/>
      <c r="L5180" s="560"/>
      <c r="M5180" s="560"/>
    </row>
    <row r="5181" spans="3:13" s="338" customFormat="1">
      <c r="C5181" s="558"/>
      <c r="D5181" s="559"/>
      <c r="E5181" s="559"/>
      <c r="F5181" s="559"/>
      <c r="G5181" s="558"/>
      <c r="H5181" s="559"/>
      <c r="I5181" s="559"/>
      <c r="J5181" s="559"/>
      <c r="K5181" s="560"/>
      <c r="L5181" s="560"/>
      <c r="M5181" s="560"/>
    </row>
    <row r="5182" spans="3:13" s="338" customFormat="1">
      <c r="C5182" s="558"/>
      <c r="D5182" s="559"/>
      <c r="E5182" s="559"/>
      <c r="F5182" s="559"/>
      <c r="G5182" s="558"/>
      <c r="H5182" s="559"/>
      <c r="I5182" s="559"/>
      <c r="J5182" s="559"/>
      <c r="K5182" s="560"/>
      <c r="L5182" s="560"/>
      <c r="M5182" s="560"/>
    </row>
    <row r="5183" spans="3:13" s="338" customFormat="1">
      <c r="C5183" s="558"/>
      <c r="D5183" s="559"/>
      <c r="E5183" s="559"/>
      <c r="F5183" s="559"/>
      <c r="G5183" s="558"/>
      <c r="H5183" s="559"/>
      <c r="I5183" s="559"/>
      <c r="J5183" s="559"/>
      <c r="K5183" s="560"/>
      <c r="L5183" s="560"/>
      <c r="M5183" s="560"/>
    </row>
    <row r="5184" spans="3:13" s="338" customFormat="1">
      <c r="C5184" s="558"/>
      <c r="D5184" s="559"/>
      <c r="E5184" s="559"/>
      <c r="F5184" s="559"/>
      <c r="G5184" s="558"/>
      <c r="H5184" s="559"/>
      <c r="I5184" s="559"/>
      <c r="J5184" s="559"/>
      <c r="K5184" s="560"/>
      <c r="L5184" s="560"/>
      <c r="M5184" s="560"/>
    </row>
    <row r="5185" spans="3:13" s="338" customFormat="1">
      <c r="C5185" s="558"/>
      <c r="D5185" s="559"/>
      <c r="E5185" s="559"/>
      <c r="F5185" s="559"/>
      <c r="G5185" s="558"/>
      <c r="H5185" s="559"/>
      <c r="I5185" s="559"/>
      <c r="J5185" s="559"/>
      <c r="K5185" s="560"/>
      <c r="L5185" s="560"/>
      <c r="M5185" s="560"/>
    </row>
    <row r="5186" spans="3:13" s="338" customFormat="1">
      <c r="C5186" s="558"/>
      <c r="D5186" s="559"/>
      <c r="E5186" s="559"/>
      <c r="F5186" s="559"/>
      <c r="G5186" s="558"/>
      <c r="H5186" s="559"/>
      <c r="I5186" s="559"/>
      <c r="J5186" s="559"/>
      <c r="K5186" s="560"/>
      <c r="L5186" s="560"/>
      <c r="M5186" s="560"/>
    </row>
    <row r="5187" spans="3:13" s="338" customFormat="1">
      <c r="C5187" s="558"/>
      <c r="D5187" s="559"/>
      <c r="E5187" s="559"/>
      <c r="F5187" s="559"/>
      <c r="G5187" s="558"/>
      <c r="H5187" s="559"/>
      <c r="I5187" s="559"/>
      <c r="J5187" s="559"/>
      <c r="K5187" s="560"/>
      <c r="L5187" s="560"/>
      <c r="M5187" s="560"/>
    </row>
    <row r="5188" spans="3:13" s="338" customFormat="1">
      <c r="C5188" s="558"/>
      <c r="D5188" s="559"/>
      <c r="E5188" s="559"/>
      <c r="F5188" s="559"/>
      <c r="G5188" s="558"/>
      <c r="H5188" s="559"/>
      <c r="I5188" s="559"/>
      <c r="J5188" s="559"/>
      <c r="K5188" s="560"/>
      <c r="L5188" s="560"/>
      <c r="M5188" s="560"/>
    </row>
    <row r="5189" spans="3:13" s="338" customFormat="1">
      <c r="C5189" s="558"/>
      <c r="D5189" s="559"/>
      <c r="E5189" s="559"/>
      <c r="F5189" s="559"/>
      <c r="G5189" s="558"/>
      <c r="H5189" s="559"/>
      <c r="I5189" s="559"/>
      <c r="J5189" s="559"/>
      <c r="K5189" s="560"/>
      <c r="L5189" s="560"/>
      <c r="M5189" s="560"/>
    </row>
    <row r="5190" spans="3:13" s="338" customFormat="1">
      <c r="C5190" s="558"/>
      <c r="D5190" s="559"/>
      <c r="E5190" s="559"/>
      <c r="F5190" s="559"/>
      <c r="G5190" s="558"/>
      <c r="H5190" s="559"/>
      <c r="I5190" s="559"/>
      <c r="J5190" s="559"/>
      <c r="K5190" s="560"/>
      <c r="L5190" s="560"/>
      <c r="M5190" s="560"/>
    </row>
    <row r="5191" spans="3:13" s="338" customFormat="1">
      <c r="C5191" s="558"/>
      <c r="D5191" s="559"/>
      <c r="E5191" s="559"/>
      <c r="F5191" s="559"/>
      <c r="G5191" s="558"/>
      <c r="H5191" s="559"/>
      <c r="I5191" s="559"/>
      <c r="J5191" s="559"/>
      <c r="K5191" s="560"/>
      <c r="L5191" s="560"/>
      <c r="M5191" s="560"/>
    </row>
    <row r="5192" spans="3:13" s="338" customFormat="1">
      <c r="C5192" s="558"/>
      <c r="D5192" s="559"/>
      <c r="E5192" s="559"/>
      <c r="F5192" s="559"/>
      <c r="G5192" s="558"/>
      <c r="H5192" s="559"/>
      <c r="I5192" s="559"/>
      <c r="J5192" s="559"/>
      <c r="K5192" s="560"/>
      <c r="L5192" s="560"/>
      <c r="M5192" s="560"/>
    </row>
    <row r="5193" spans="3:13" s="338" customFormat="1">
      <c r="C5193" s="558"/>
      <c r="D5193" s="559"/>
      <c r="E5193" s="559"/>
      <c r="F5193" s="559"/>
      <c r="G5193" s="558"/>
      <c r="H5193" s="559"/>
      <c r="I5193" s="559"/>
      <c r="J5193" s="559"/>
      <c r="K5193" s="560"/>
      <c r="L5193" s="560"/>
      <c r="M5193" s="560"/>
    </row>
    <row r="5194" spans="3:13" s="338" customFormat="1">
      <c r="C5194" s="558"/>
      <c r="D5194" s="559"/>
      <c r="E5194" s="559"/>
      <c r="F5194" s="559"/>
      <c r="G5194" s="558"/>
      <c r="H5194" s="559"/>
      <c r="I5194" s="559"/>
      <c r="J5194" s="559"/>
      <c r="K5194" s="560"/>
      <c r="L5194" s="560"/>
      <c r="M5194" s="560"/>
    </row>
    <row r="5195" spans="3:13" s="338" customFormat="1">
      <c r="C5195" s="558"/>
      <c r="D5195" s="559"/>
      <c r="E5195" s="559"/>
      <c r="F5195" s="559"/>
      <c r="G5195" s="558"/>
      <c r="H5195" s="559"/>
      <c r="I5195" s="559"/>
      <c r="J5195" s="559"/>
      <c r="K5195" s="560"/>
      <c r="L5195" s="560"/>
      <c r="M5195" s="560"/>
    </row>
    <row r="5196" spans="3:13" s="338" customFormat="1">
      <c r="C5196" s="558"/>
      <c r="D5196" s="559"/>
      <c r="E5196" s="559"/>
      <c r="F5196" s="559"/>
      <c r="G5196" s="558"/>
      <c r="H5196" s="559"/>
      <c r="I5196" s="559"/>
      <c r="J5196" s="559"/>
      <c r="K5196" s="560"/>
      <c r="L5196" s="560"/>
      <c r="M5196" s="560"/>
    </row>
    <row r="5197" spans="3:13" s="338" customFormat="1">
      <c r="C5197" s="558"/>
      <c r="D5197" s="559"/>
      <c r="E5197" s="559"/>
      <c r="F5197" s="559"/>
      <c r="G5197" s="558"/>
      <c r="H5197" s="559"/>
      <c r="I5197" s="559"/>
      <c r="J5197" s="559"/>
      <c r="K5197" s="560"/>
      <c r="L5197" s="560"/>
      <c r="M5197" s="560"/>
    </row>
    <row r="5198" spans="3:13" s="338" customFormat="1">
      <c r="C5198" s="558"/>
      <c r="D5198" s="559"/>
      <c r="E5198" s="559"/>
      <c r="F5198" s="559"/>
      <c r="G5198" s="558"/>
      <c r="H5198" s="559"/>
      <c r="I5198" s="559"/>
      <c r="J5198" s="559"/>
      <c r="K5198" s="560"/>
      <c r="L5198" s="560"/>
      <c r="M5198" s="560"/>
    </row>
    <row r="5199" spans="3:13" s="338" customFormat="1">
      <c r="C5199" s="558"/>
      <c r="D5199" s="559"/>
      <c r="E5199" s="559"/>
      <c r="F5199" s="559"/>
      <c r="G5199" s="558"/>
      <c r="H5199" s="559"/>
      <c r="I5199" s="559"/>
      <c r="J5199" s="559"/>
      <c r="K5199" s="560"/>
      <c r="L5199" s="560"/>
      <c r="M5199" s="560"/>
    </row>
    <row r="5200" spans="3:13" s="338" customFormat="1">
      <c r="C5200" s="558"/>
      <c r="D5200" s="559"/>
      <c r="E5200" s="559"/>
      <c r="F5200" s="559"/>
      <c r="G5200" s="558"/>
      <c r="H5200" s="559"/>
      <c r="I5200" s="559"/>
      <c r="J5200" s="559"/>
      <c r="K5200" s="560"/>
      <c r="L5200" s="560"/>
      <c r="M5200" s="560"/>
    </row>
    <row r="5201" spans="3:13" s="338" customFormat="1">
      <c r="C5201" s="558"/>
      <c r="D5201" s="559"/>
      <c r="E5201" s="559"/>
      <c r="F5201" s="559"/>
      <c r="G5201" s="558"/>
      <c r="H5201" s="559"/>
      <c r="I5201" s="559"/>
      <c r="J5201" s="559"/>
      <c r="K5201" s="560"/>
      <c r="L5201" s="560"/>
      <c r="M5201" s="560"/>
    </row>
    <row r="5202" spans="3:13" s="338" customFormat="1">
      <c r="C5202" s="558"/>
      <c r="D5202" s="559"/>
      <c r="E5202" s="559"/>
      <c r="F5202" s="559"/>
      <c r="G5202" s="558"/>
      <c r="H5202" s="559"/>
      <c r="I5202" s="559"/>
      <c r="J5202" s="559"/>
      <c r="K5202" s="560"/>
      <c r="L5202" s="560"/>
      <c r="M5202" s="560"/>
    </row>
    <row r="5203" spans="3:13" s="338" customFormat="1">
      <c r="C5203" s="558"/>
      <c r="D5203" s="559"/>
      <c r="E5203" s="559"/>
      <c r="F5203" s="559"/>
      <c r="G5203" s="558"/>
      <c r="H5203" s="559"/>
      <c r="I5203" s="559"/>
      <c r="J5203" s="559"/>
      <c r="K5203" s="560"/>
      <c r="L5203" s="560"/>
      <c r="M5203" s="560"/>
    </row>
    <row r="5204" spans="3:13" s="338" customFormat="1">
      <c r="C5204" s="558"/>
      <c r="D5204" s="559"/>
      <c r="E5204" s="559"/>
      <c r="F5204" s="559"/>
      <c r="G5204" s="558"/>
      <c r="H5204" s="559"/>
      <c r="I5204" s="559"/>
      <c r="J5204" s="559"/>
      <c r="K5204" s="560"/>
      <c r="L5204" s="560"/>
      <c r="M5204" s="560"/>
    </row>
    <row r="5205" spans="3:13" s="338" customFormat="1">
      <c r="C5205" s="558"/>
      <c r="D5205" s="559"/>
      <c r="E5205" s="559"/>
      <c r="F5205" s="559"/>
      <c r="G5205" s="558"/>
      <c r="H5205" s="559"/>
      <c r="I5205" s="559"/>
      <c r="J5205" s="559"/>
      <c r="K5205" s="560"/>
      <c r="L5205" s="560"/>
      <c r="M5205" s="560"/>
    </row>
    <row r="5206" spans="3:13" s="338" customFormat="1">
      <c r="C5206" s="558"/>
      <c r="D5206" s="559"/>
      <c r="E5206" s="559"/>
      <c r="F5206" s="559"/>
      <c r="G5206" s="558"/>
      <c r="H5206" s="559"/>
      <c r="I5206" s="559"/>
      <c r="J5206" s="559"/>
      <c r="K5206" s="560"/>
      <c r="L5206" s="560"/>
      <c r="M5206" s="560"/>
    </row>
    <row r="5207" spans="3:13" s="338" customFormat="1">
      <c r="C5207" s="558"/>
      <c r="D5207" s="559"/>
      <c r="E5207" s="559"/>
      <c r="F5207" s="559"/>
      <c r="G5207" s="558"/>
      <c r="H5207" s="559"/>
      <c r="I5207" s="559"/>
      <c r="J5207" s="559"/>
      <c r="K5207" s="560"/>
      <c r="L5207" s="560"/>
      <c r="M5207" s="560"/>
    </row>
    <row r="5208" spans="3:13" s="338" customFormat="1">
      <c r="C5208" s="558"/>
      <c r="D5208" s="559"/>
      <c r="E5208" s="559"/>
      <c r="F5208" s="559"/>
      <c r="G5208" s="558"/>
      <c r="H5208" s="559"/>
      <c r="I5208" s="559"/>
      <c r="J5208" s="559"/>
      <c r="K5208" s="560"/>
      <c r="L5208" s="560"/>
      <c r="M5208" s="560"/>
    </row>
    <row r="5209" spans="3:13" s="338" customFormat="1">
      <c r="C5209" s="558"/>
      <c r="D5209" s="559"/>
      <c r="E5209" s="559"/>
      <c r="F5209" s="559"/>
      <c r="G5209" s="558"/>
      <c r="H5209" s="559"/>
      <c r="I5209" s="559"/>
      <c r="J5209" s="559"/>
      <c r="K5209" s="560"/>
      <c r="L5209" s="560"/>
      <c r="M5209" s="560"/>
    </row>
    <row r="5210" spans="3:13" s="338" customFormat="1">
      <c r="C5210" s="558"/>
      <c r="D5210" s="559"/>
      <c r="E5210" s="559"/>
      <c r="F5210" s="559"/>
      <c r="G5210" s="558"/>
      <c r="H5210" s="559"/>
      <c r="I5210" s="559"/>
      <c r="J5210" s="559"/>
      <c r="K5210" s="560"/>
      <c r="L5210" s="560"/>
      <c r="M5210" s="560"/>
    </row>
    <row r="5211" spans="3:13" s="338" customFormat="1">
      <c r="C5211" s="558"/>
      <c r="D5211" s="559"/>
      <c r="E5211" s="559"/>
      <c r="F5211" s="559"/>
      <c r="G5211" s="558"/>
      <c r="H5211" s="559"/>
      <c r="I5211" s="559"/>
      <c r="J5211" s="559"/>
      <c r="K5211" s="560"/>
      <c r="L5211" s="560"/>
      <c r="M5211" s="560"/>
    </row>
    <row r="5212" spans="3:13" s="338" customFormat="1">
      <c r="C5212" s="558"/>
      <c r="D5212" s="559"/>
      <c r="E5212" s="559"/>
      <c r="F5212" s="559"/>
      <c r="G5212" s="558"/>
      <c r="H5212" s="559"/>
      <c r="I5212" s="559"/>
      <c r="J5212" s="559"/>
      <c r="K5212" s="560"/>
      <c r="L5212" s="560"/>
      <c r="M5212" s="560"/>
    </row>
    <row r="5213" spans="3:13" s="338" customFormat="1">
      <c r="C5213" s="558"/>
      <c r="D5213" s="559"/>
      <c r="E5213" s="559"/>
      <c r="F5213" s="559"/>
      <c r="G5213" s="558"/>
      <c r="H5213" s="559"/>
      <c r="I5213" s="559"/>
      <c r="J5213" s="559"/>
      <c r="K5213" s="560"/>
      <c r="L5213" s="560"/>
      <c r="M5213" s="560"/>
    </row>
    <row r="5214" spans="3:13" s="338" customFormat="1">
      <c r="C5214" s="558"/>
      <c r="D5214" s="559"/>
      <c r="E5214" s="559"/>
      <c r="F5214" s="559"/>
      <c r="G5214" s="558"/>
      <c r="H5214" s="559"/>
      <c r="I5214" s="559"/>
      <c r="J5214" s="559"/>
      <c r="K5214" s="560"/>
      <c r="L5214" s="560"/>
      <c r="M5214" s="560"/>
    </row>
    <row r="5215" spans="3:13" s="338" customFormat="1">
      <c r="C5215" s="558"/>
      <c r="D5215" s="559"/>
      <c r="E5215" s="559"/>
      <c r="F5215" s="559"/>
      <c r="G5215" s="558"/>
      <c r="H5215" s="559"/>
      <c r="I5215" s="559"/>
      <c r="J5215" s="559"/>
      <c r="K5215" s="560"/>
      <c r="L5215" s="560"/>
      <c r="M5215" s="560"/>
    </row>
    <row r="5216" spans="3:13" s="338" customFormat="1">
      <c r="C5216" s="558"/>
      <c r="D5216" s="559"/>
      <c r="E5216" s="559"/>
      <c r="F5216" s="559"/>
      <c r="G5216" s="558"/>
      <c r="H5216" s="559"/>
      <c r="I5216" s="559"/>
      <c r="J5216" s="559"/>
      <c r="K5216" s="560"/>
      <c r="L5216" s="560"/>
      <c r="M5216" s="560"/>
    </row>
    <row r="5217" spans="3:13" s="338" customFormat="1">
      <c r="C5217" s="558"/>
      <c r="D5217" s="559"/>
      <c r="E5217" s="559"/>
      <c r="F5217" s="559"/>
      <c r="G5217" s="558"/>
      <c r="H5217" s="559"/>
      <c r="I5217" s="559"/>
      <c r="J5217" s="559"/>
      <c r="K5217" s="560"/>
      <c r="L5217" s="560"/>
      <c r="M5217" s="560"/>
    </row>
    <row r="5218" spans="3:13" s="338" customFormat="1">
      <c r="C5218" s="558"/>
      <c r="D5218" s="559"/>
      <c r="E5218" s="559"/>
      <c r="F5218" s="559"/>
      <c r="G5218" s="558"/>
      <c r="H5218" s="559"/>
      <c r="I5218" s="559"/>
      <c r="J5218" s="559"/>
      <c r="K5218" s="560"/>
      <c r="L5218" s="560"/>
      <c r="M5218" s="560"/>
    </row>
    <row r="5219" spans="3:13" s="338" customFormat="1">
      <c r="C5219" s="558"/>
      <c r="D5219" s="559"/>
      <c r="E5219" s="559"/>
      <c r="F5219" s="559"/>
      <c r="G5219" s="558"/>
      <c r="H5219" s="559"/>
      <c r="I5219" s="559"/>
      <c r="J5219" s="559"/>
      <c r="K5219" s="560"/>
      <c r="L5219" s="560"/>
      <c r="M5219" s="560"/>
    </row>
    <row r="5220" spans="3:13" s="338" customFormat="1">
      <c r="C5220" s="558"/>
      <c r="D5220" s="559"/>
      <c r="E5220" s="559"/>
      <c r="F5220" s="559"/>
      <c r="G5220" s="558"/>
      <c r="H5220" s="559"/>
      <c r="I5220" s="559"/>
      <c r="J5220" s="559"/>
      <c r="K5220" s="560"/>
      <c r="L5220" s="560"/>
      <c r="M5220" s="560"/>
    </row>
    <row r="5221" spans="3:13" s="338" customFormat="1">
      <c r="C5221" s="558"/>
      <c r="D5221" s="559"/>
      <c r="E5221" s="559"/>
      <c r="F5221" s="559"/>
      <c r="G5221" s="558"/>
      <c r="H5221" s="559"/>
      <c r="I5221" s="559"/>
      <c r="J5221" s="559"/>
      <c r="K5221" s="560"/>
      <c r="L5221" s="560"/>
      <c r="M5221" s="560"/>
    </row>
    <row r="5222" spans="3:13" s="338" customFormat="1">
      <c r="C5222" s="558"/>
      <c r="D5222" s="559"/>
      <c r="E5222" s="559"/>
      <c r="F5222" s="559"/>
      <c r="G5222" s="558"/>
      <c r="H5222" s="559"/>
      <c r="I5222" s="559"/>
      <c r="J5222" s="559"/>
      <c r="K5222" s="560"/>
      <c r="L5222" s="560"/>
      <c r="M5222" s="560"/>
    </row>
    <row r="5223" spans="3:13" s="338" customFormat="1">
      <c r="C5223" s="558"/>
      <c r="D5223" s="559"/>
      <c r="E5223" s="559"/>
      <c r="F5223" s="559"/>
      <c r="G5223" s="558"/>
      <c r="H5223" s="559"/>
      <c r="I5223" s="559"/>
      <c r="J5223" s="559"/>
      <c r="K5223" s="560"/>
      <c r="L5223" s="560"/>
      <c r="M5223" s="560"/>
    </row>
    <row r="5224" spans="3:13" s="338" customFormat="1">
      <c r="C5224" s="558"/>
      <c r="D5224" s="559"/>
      <c r="E5224" s="559"/>
      <c r="F5224" s="559"/>
      <c r="G5224" s="558"/>
      <c r="H5224" s="559"/>
      <c r="I5224" s="559"/>
      <c r="J5224" s="559"/>
      <c r="K5224" s="560"/>
      <c r="L5224" s="560"/>
      <c r="M5224" s="560"/>
    </row>
    <row r="5225" spans="3:13" s="338" customFormat="1">
      <c r="C5225" s="558"/>
      <c r="D5225" s="559"/>
      <c r="E5225" s="559"/>
      <c r="F5225" s="559"/>
      <c r="G5225" s="558"/>
      <c r="H5225" s="559"/>
      <c r="I5225" s="559"/>
      <c r="J5225" s="559"/>
      <c r="K5225" s="560"/>
      <c r="L5225" s="560"/>
      <c r="M5225" s="560"/>
    </row>
    <row r="5226" spans="3:13" s="338" customFormat="1">
      <c r="C5226" s="558"/>
      <c r="D5226" s="559"/>
      <c r="E5226" s="559"/>
      <c r="F5226" s="559"/>
      <c r="G5226" s="558"/>
      <c r="H5226" s="559"/>
      <c r="I5226" s="559"/>
      <c r="J5226" s="559"/>
      <c r="K5226" s="560"/>
      <c r="L5226" s="560"/>
      <c r="M5226" s="560"/>
    </row>
    <row r="5227" spans="3:13" s="338" customFormat="1">
      <c r="C5227" s="558"/>
      <c r="D5227" s="559"/>
      <c r="E5227" s="559"/>
      <c r="F5227" s="559"/>
      <c r="G5227" s="558"/>
      <c r="H5227" s="559"/>
      <c r="I5227" s="559"/>
      <c r="J5227" s="559"/>
      <c r="K5227" s="560"/>
      <c r="L5227" s="560"/>
      <c r="M5227" s="560"/>
    </row>
    <row r="5228" spans="3:13" s="338" customFormat="1">
      <c r="C5228" s="558"/>
      <c r="D5228" s="559"/>
      <c r="E5228" s="559"/>
      <c r="F5228" s="559"/>
      <c r="G5228" s="558"/>
      <c r="H5228" s="559"/>
      <c r="I5228" s="559"/>
      <c r="J5228" s="559"/>
      <c r="K5228" s="560"/>
      <c r="L5228" s="560"/>
      <c r="M5228" s="560"/>
    </row>
    <row r="5229" spans="3:13" s="338" customFormat="1">
      <c r="C5229" s="558"/>
      <c r="D5229" s="559"/>
      <c r="E5229" s="559"/>
      <c r="F5229" s="559"/>
      <c r="G5229" s="558"/>
      <c r="H5229" s="559"/>
      <c r="I5229" s="559"/>
      <c r="J5229" s="559"/>
      <c r="K5229" s="560"/>
      <c r="L5229" s="560"/>
      <c r="M5229" s="560"/>
    </row>
    <row r="5230" spans="3:13" s="338" customFormat="1">
      <c r="C5230" s="558"/>
      <c r="D5230" s="559"/>
      <c r="E5230" s="559"/>
      <c r="F5230" s="559"/>
      <c r="G5230" s="558"/>
      <c r="H5230" s="559"/>
      <c r="I5230" s="559"/>
      <c r="J5230" s="559"/>
      <c r="K5230" s="560"/>
      <c r="L5230" s="560"/>
      <c r="M5230" s="560"/>
    </row>
    <row r="5231" spans="3:13" s="338" customFormat="1">
      <c r="C5231" s="558"/>
      <c r="D5231" s="559"/>
      <c r="E5231" s="559"/>
      <c r="F5231" s="559"/>
      <c r="G5231" s="558"/>
      <c r="H5231" s="559"/>
      <c r="I5231" s="559"/>
      <c r="J5231" s="559"/>
      <c r="K5231" s="560"/>
      <c r="L5231" s="560"/>
      <c r="M5231" s="560"/>
    </row>
    <row r="5232" spans="3:13" s="338" customFormat="1">
      <c r="C5232" s="558"/>
      <c r="D5232" s="559"/>
      <c r="E5232" s="559"/>
      <c r="F5232" s="559"/>
      <c r="G5232" s="558"/>
      <c r="H5232" s="559"/>
      <c r="I5232" s="559"/>
      <c r="J5232" s="559"/>
      <c r="K5232" s="560"/>
      <c r="L5232" s="560"/>
      <c r="M5232" s="560"/>
    </row>
    <row r="5233" spans="3:13" s="338" customFormat="1">
      <c r="C5233" s="558"/>
      <c r="D5233" s="559"/>
      <c r="E5233" s="559"/>
      <c r="F5233" s="559"/>
      <c r="G5233" s="558"/>
      <c r="H5233" s="559"/>
      <c r="I5233" s="559"/>
      <c r="J5233" s="559"/>
      <c r="K5233" s="560"/>
      <c r="L5233" s="560"/>
      <c r="M5233" s="560"/>
    </row>
    <row r="5234" spans="3:13" s="338" customFormat="1">
      <c r="C5234" s="558"/>
      <c r="D5234" s="559"/>
      <c r="E5234" s="559"/>
      <c r="F5234" s="559"/>
      <c r="G5234" s="558"/>
      <c r="H5234" s="559"/>
      <c r="I5234" s="559"/>
      <c r="J5234" s="559"/>
      <c r="K5234" s="560"/>
      <c r="L5234" s="560"/>
      <c r="M5234" s="560"/>
    </row>
    <row r="5235" spans="3:13" s="338" customFormat="1">
      <c r="C5235" s="558"/>
      <c r="D5235" s="559"/>
      <c r="E5235" s="559"/>
      <c r="F5235" s="559"/>
      <c r="G5235" s="558"/>
      <c r="H5235" s="559"/>
      <c r="I5235" s="559"/>
      <c r="J5235" s="559"/>
      <c r="K5235" s="560"/>
      <c r="L5235" s="560"/>
      <c r="M5235" s="560"/>
    </row>
    <row r="5236" spans="3:13" s="338" customFormat="1">
      <c r="C5236" s="558"/>
      <c r="D5236" s="559"/>
      <c r="E5236" s="559"/>
      <c r="F5236" s="559"/>
      <c r="G5236" s="558"/>
      <c r="H5236" s="559"/>
      <c r="I5236" s="559"/>
      <c r="J5236" s="559"/>
      <c r="K5236" s="560"/>
      <c r="L5236" s="560"/>
      <c r="M5236" s="560"/>
    </row>
    <row r="5237" spans="3:13" s="338" customFormat="1">
      <c r="C5237" s="558"/>
      <c r="D5237" s="559"/>
      <c r="E5237" s="559"/>
      <c r="F5237" s="559"/>
      <c r="G5237" s="558"/>
      <c r="H5237" s="559"/>
      <c r="I5237" s="559"/>
      <c r="J5237" s="559"/>
      <c r="K5237" s="560"/>
      <c r="L5237" s="560"/>
      <c r="M5237" s="560"/>
    </row>
    <row r="5238" spans="3:13" s="338" customFormat="1">
      <c r="C5238" s="558"/>
      <c r="D5238" s="559"/>
      <c r="E5238" s="559"/>
      <c r="F5238" s="559"/>
      <c r="G5238" s="558"/>
      <c r="H5238" s="559"/>
      <c r="I5238" s="559"/>
      <c r="J5238" s="559"/>
      <c r="K5238" s="560"/>
      <c r="L5238" s="560"/>
      <c r="M5238" s="560"/>
    </row>
    <row r="5239" spans="3:13" s="338" customFormat="1">
      <c r="C5239" s="558"/>
      <c r="D5239" s="559"/>
      <c r="E5239" s="559"/>
      <c r="F5239" s="559"/>
      <c r="G5239" s="558"/>
      <c r="H5239" s="559"/>
      <c r="I5239" s="559"/>
      <c r="J5239" s="559"/>
      <c r="K5239" s="560"/>
      <c r="L5239" s="560"/>
      <c r="M5239" s="560"/>
    </row>
    <row r="5240" spans="3:13" s="338" customFormat="1">
      <c r="C5240" s="558"/>
      <c r="D5240" s="559"/>
      <c r="E5240" s="559"/>
      <c r="F5240" s="559"/>
      <c r="G5240" s="558"/>
      <c r="H5240" s="559"/>
      <c r="I5240" s="559"/>
      <c r="J5240" s="559"/>
      <c r="K5240" s="560"/>
      <c r="L5240" s="560"/>
      <c r="M5240" s="560"/>
    </row>
    <row r="5241" spans="3:13" s="338" customFormat="1">
      <c r="C5241" s="558"/>
      <c r="D5241" s="559"/>
      <c r="E5241" s="559"/>
      <c r="F5241" s="559"/>
      <c r="G5241" s="558"/>
      <c r="H5241" s="559"/>
      <c r="I5241" s="559"/>
      <c r="J5241" s="559"/>
      <c r="K5241" s="560"/>
      <c r="L5241" s="560"/>
      <c r="M5241" s="560"/>
    </row>
    <row r="5242" spans="3:13" s="338" customFormat="1">
      <c r="C5242" s="558"/>
      <c r="D5242" s="559"/>
      <c r="E5242" s="559"/>
      <c r="F5242" s="559"/>
      <c r="G5242" s="558"/>
      <c r="H5242" s="559"/>
      <c r="I5242" s="559"/>
      <c r="J5242" s="559"/>
      <c r="K5242" s="560"/>
      <c r="L5242" s="560"/>
      <c r="M5242" s="560"/>
    </row>
    <row r="5243" spans="3:13" s="338" customFormat="1">
      <c r="C5243" s="558"/>
      <c r="D5243" s="559"/>
      <c r="E5243" s="559"/>
      <c r="F5243" s="559"/>
      <c r="G5243" s="558"/>
      <c r="H5243" s="559"/>
      <c r="I5243" s="559"/>
      <c r="J5243" s="559"/>
      <c r="K5243" s="560"/>
      <c r="L5243" s="560"/>
      <c r="M5243" s="560"/>
    </row>
    <row r="5244" spans="3:13" s="338" customFormat="1">
      <c r="C5244" s="558"/>
      <c r="D5244" s="559"/>
      <c r="E5244" s="559"/>
      <c r="F5244" s="559"/>
      <c r="G5244" s="558"/>
      <c r="H5244" s="559"/>
      <c r="I5244" s="559"/>
      <c r="J5244" s="559"/>
      <c r="K5244" s="560"/>
      <c r="L5244" s="560"/>
      <c r="M5244" s="560"/>
    </row>
    <row r="5245" spans="3:13" s="338" customFormat="1">
      <c r="C5245" s="558"/>
      <c r="D5245" s="559"/>
      <c r="E5245" s="559"/>
      <c r="F5245" s="559"/>
      <c r="G5245" s="558"/>
      <c r="H5245" s="559"/>
      <c r="I5245" s="559"/>
      <c r="J5245" s="559"/>
      <c r="K5245" s="560"/>
      <c r="L5245" s="560"/>
      <c r="M5245" s="560"/>
    </row>
    <row r="5246" spans="3:13" s="338" customFormat="1">
      <c r="C5246" s="558"/>
      <c r="D5246" s="559"/>
      <c r="E5246" s="559"/>
      <c r="F5246" s="559"/>
      <c r="G5246" s="558"/>
      <c r="H5246" s="559"/>
      <c r="I5246" s="559"/>
      <c r="J5246" s="559"/>
      <c r="K5246" s="560"/>
      <c r="L5246" s="560"/>
      <c r="M5246" s="560"/>
    </row>
    <row r="5247" spans="3:13" s="338" customFormat="1">
      <c r="C5247" s="558"/>
      <c r="D5247" s="559"/>
      <c r="E5247" s="559"/>
      <c r="F5247" s="559"/>
      <c r="G5247" s="558"/>
      <c r="H5247" s="559"/>
      <c r="I5247" s="559"/>
      <c r="J5247" s="559"/>
      <c r="K5247" s="560"/>
      <c r="L5247" s="560"/>
      <c r="M5247" s="560"/>
    </row>
    <row r="5248" spans="3:13" s="338" customFormat="1">
      <c r="C5248" s="558"/>
      <c r="D5248" s="559"/>
      <c r="E5248" s="559"/>
      <c r="F5248" s="559"/>
      <c r="G5248" s="558"/>
      <c r="H5248" s="559"/>
      <c r="I5248" s="559"/>
      <c r="J5248" s="559"/>
      <c r="K5248" s="560"/>
      <c r="L5248" s="560"/>
      <c r="M5248" s="560"/>
    </row>
    <row r="5249" spans="3:13" s="338" customFormat="1">
      <c r="C5249" s="558"/>
      <c r="D5249" s="559"/>
      <c r="E5249" s="559"/>
      <c r="F5249" s="559"/>
      <c r="G5249" s="558"/>
      <c r="H5249" s="559"/>
      <c r="I5249" s="559"/>
      <c r="J5249" s="559"/>
      <c r="K5249" s="560"/>
      <c r="L5249" s="560"/>
      <c r="M5249" s="560"/>
    </row>
    <row r="5250" spans="3:13" s="338" customFormat="1">
      <c r="C5250" s="558"/>
      <c r="D5250" s="559"/>
      <c r="E5250" s="559"/>
      <c r="F5250" s="559"/>
      <c r="G5250" s="558"/>
      <c r="H5250" s="559"/>
      <c r="I5250" s="559"/>
      <c r="J5250" s="559"/>
      <c r="K5250" s="560"/>
      <c r="L5250" s="560"/>
      <c r="M5250" s="560"/>
    </row>
    <row r="5251" spans="3:13" s="338" customFormat="1">
      <c r="C5251" s="558"/>
      <c r="D5251" s="559"/>
      <c r="E5251" s="559"/>
      <c r="F5251" s="559"/>
      <c r="G5251" s="558"/>
      <c r="H5251" s="559"/>
      <c r="I5251" s="559"/>
      <c r="J5251" s="559"/>
      <c r="K5251" s="560"/>
      <c r="L5251" s="560"/>
      <c r="M5251" s="560"/>
    </row>
    <row r="5252" spans="3:13" s="338" customFormat="1">
      <c r="C5252" s="558"/>
      <c r="D5252" s="559"/>
      <c r="E5252" s="559"/>
      <c r="F5252" s="559"/>
      <c r="G5252" s="558"/>
      <c r="H5252" s="559"/>
      <c r="I5252" s="559"/>
      <c r="J5252" s="559"/>
      <c r="K5252" s="560"/>
      <c r="L5252" s="560"/>
      <c r="M5252" s="560"/>
    </row>
    <row r="5253" spans="3:13" s="338" customFormat="1">
      <c r="C5253" s="558"/>
      <c r="D5253" s="559"/>
      <c r="E5253" s="559"/>
      <c r="F5253" s="559"/>
      <c r="G5253" s="558"/>
      <c r="H5253" s="559"/>
      <c r="I5253" s="559"/>
      <c r="J5253" s="559"/>
      <c r="K5253" s="560"/>
      <c r="L5253" s="560"/>
      <c r="M5253" s="560"/>
    </row>
    <row r="5254" spans="3:13" s="338" customFormat="1">
      <c r="C5254" s="558"/>
      <c r="D5254" s="559"/>
      <c r="E5254" s="559"/>
      <c r="F5254" s="559"/>
      <c r="G5254" s="558"/>
      <c r="H5254" s="559"/>
      <c r="I5254" s="559"/>
      <c r="J5254" s="559"/>
      <c r="K5254" s="560"/>
      <c r="L5254" s="560"/>
      <c r="M5254" s="560"/>
    </row>
    <row r="5255" spans="3:13" s="338" customFormat="1">
      <c r="C5255" s="558"/>
      <c r="D5255" s="559"/>
      <c r="E5255" s="559"/>
      <c r="F5255" s="559"/>
      <c r="G5255" s="558"/>
      <c r="H5255" s="559"/>
      <c r="I5255" s="559"/>
      <c r="J5255" s="559"/>
      <c r="K5255" s="560"/>
      <c r="L5255" s="560"/>
      <c r="M5255" s="560"/>
    </row>
    <row r="5256" spans="3:13" s="338" customFormat="1">
      <c r="C5256" s="558"/>
      <c r="D5256" s="559"/>
      <c r="E5256" s="559"/>
      <c r="F5256" s="559"/>
      <c r="G5256" s="558"/>
      <c r="H5256" s="559"/>
      <c r="I5256" s="559"/>
      <c r="J5256" s="559"/>
      <c r="K5256" s="560"/>
      <c r="L5256" s="560"/>
      <c r="M5256" s="560"/>
    </row>
    <row r="5257" spans="3:13" s="338" customFormat="1">
      <c r="C5257" s="558"/>
      <c r="D5257" s="559"/>
      <c r="E5257" s="559"/>
      <c r="F5257" s="559"/>
      <c r="G5257" s="558"/>
      <c r="H5257" s="559"/>
      <c r="I5257" s="559"/>
      <c r="J5257" s="559"/>
      <c r="K5257" s="560"/>
      <c r="L5257" s="560"/>
      <c r="M5257" s="560"/>
    </row>
    <row r="5258" spans="3:13" s="338" customFormat="1">
      <c r="C5258" s="558"/>
      <c r="D5258" s="559"/>
      <c r="E5258" s="559"/>
      <c r="F5258" s="559"/>
      <c r="G5258" s="558"/>
      <c r="H5258" s="559"/>
      <c r="I5258" s="559"/>
      <c r="J5258" s="559"/>
      <c r="K5258" s="560"/>
      <c r="L5258" s="560"/>
      <c r="M5258" s="560"/>
    </row>
    <row r="5259" spans="3:13" s="338" customFormat="1">
      <c r="C5259" s="558"/>
      <c r="D5259" s="559"/>
      <c r="E5259" s="559"/>
      <c r="F5259" s="559"/>
      <c r="G5259" s="558"/>
      <c r="H5259" s="559"/>
      <c r="I5259" s="559"/>
      <c r="J5259" s="559"/>
      <c r="K5259" s="560"/>
      <c r="L5259" s="560"/>
      <c r="M5259" s="560"/>
    </row>
    <row r="5260" spans="3:13" s="338" customFormat="1">
      <c r="C5260" s="558"/>
      <c r="D5260" s="559"/>
      <c r="E5260" s="559"/>
      <c r="F5260" s="559"/>
      <c r="G5260" s="558"/>
      <c r="H5260" s="559"/>
      <c r="I5260" s="559"/>
      <c r="J5260" s="559"/>
      <c r="K5260" s="560"/>
      <c r="L5260" s="560"/>
      <c r="M5260" s="560"/>
    </row>
    <row r="5261" spans="3:13" s="338" customFormat="1">
      <c r="C5261" s="558"/>
      <c r="D5261" s="559"/>
      <c r="E5261" s="559"/>
      <c r="F5261" s="559"/>
      <c r="G5261" s="558"/>
      <c r="H5261" s="559"/>
      <c r="I5261" s="559"/>
      <c r="J5261" s="559"/>
      <c r="K5261" s="560"/>
      <c r="L5261" s="560"/>
      <c r="M5261" s="560"/>
    </row>
    <row r="5262" spans="3:13" s="338" customFormat="1">
      <c r="C5262" s="558"/>
      <c r="D5262" s="559"/>
      <c r="E5262" s="559"/>
      <c r="F5262" s="559"/>
      <c r="G5262" s="558"/>
      <c r="H5262" s="559"/>
      <c r="I5262" s="559"/>
      <c r="J5262" s="559"/>
      <c r="K5262" s="560"/>
      <c r="L5262" s="560"/>
      <c r="M5262" s="560"/>
    </row>
    <row r="5263" spans="3:13" s="338" customFormat="1">
      <c r="C5263" s="558"/>
      <c r="D5263" s="559"/>
      <c r="E5263" s="559"/>
      <c r="F5263" s="559"/>
      <c r="G5263" s="558"/>
      <c r="H5263" s="559"/>
      <c r="I5263" s="559"/>
      <c r="J5263" s="559"/>
      <c r="K5263" s="560"/>
      <c r="L5263" s="560"/>
      <c r="M5263" s="560"/>
    </row>
    <row r="5264" spans="3:13" s="338" customFormat="1">
      <c r="C5264" s="558"/>
      <c r="D5264" s="559"/>
      <c r="E5264" s="559"/>
      <c r="F5264" s="559"/>
      <c r="G5264" s="558"/>
      <c r="H5264" s="559"/>
      <c r="I5264" s="559"/>
      <c r="J5264" s="559"/>
      <c r="K5264" s="560"/>
      <c r="L5264" s="560"/>
      <c r="M5264" s="560"/>
    </row>
    <row r="5265" spans="3:13" s="338" customFormat="1">
      <c r="C5265" s="558"/>
      <c r="D5265" s="559"/>
      <c r="E5265" s="559"/>
      <c r="F5265" s="559"/>
      <c r="G5265" s="558"/>
      <c r="H5265" s="559"/>
      <c r="I5265" s="559"/>
      <c r="J5265" s="559"/>
      <c r="K5265" s="560"/>
      <c r="L5265" s="560"/>
      <c r="M5265" s="560"/>
    </row>
    <row r="5266" spans="3:13" s="338" customFormat="1">
      <c r="C5266" s="558"/>
      <c r="D5266" s="559"/>
      <c r="E5266" s="559"/>
      <c r="F5266" s="559"/>
      <c r="G5266" s="558"/>
      <c r="H5266" s="559"/>
      <c r="I5266" s="559"/>
      <c r="J5266" s="559"/>
      <c r="K5266" s="560"/>
      <c r="L5266" s="560"/>
      <c r="M5266" s="560"/>
    </row>
    <row r="5267" spans="3:13" s="338" customFormat="1">
      <c r="C5267" s="558"/>
      <c r="D5267" s="559"/>
      <c r="E5267" s="559"/>
      <c r="F5267" s="559"/>
      <c r="G5267" s="558"/>
      <c r="H5267" s="559"/>
      <c r="I5267" s="559"/>
      <c r="J5267" s="559"/>
      <c r="K5267" s="560"/>
      <c r="L5267" s="560"/>
      <c r="M5267" s="560"/>
    </row>
    <row r="5268" spans="3:13" s="338" customFormat="1">
      <c r="C5268" s="558"/>
      <c r="D5268" s="559"/>
      <c r="E5268" s="559"/>
      <c r="F5268" s="559"/>
      <c r="G5268" s="558"/>
      <c r="H5268" s="559"/>
      <c r="I5268" s="559"/>
      <c r="J5268" s="559"/>
      <c r="K5268" s="560"/>
      <c r="L5268" s="560"/>
      <c r="M5268" s="560"/>
    </row>
    <row r="5269" spans="3:13" s="338" customFormat="1">
      <c r="C5269" s="558"/>
      <c r="D5269" s="559"/>
      <c r="E5269" s="559"/>
      <c r="F5269" s="559"/>
      <c r="G5269" s="558"/>
      <c r="H5269" s="559"/>
      <c r="I5269" s="559"/>
      <c r="J5269" s="559"/>
      <c r="K5269" s="560"/>
      <c r="L5269" s="560"/>
      <c r="M5269" s="560"/>
    </row>
    <row r="5270" spans="3:13" s="338" customFormat="1">
      <c r="C5270" s="558"/>
      <c r="D5270" s="559"/>
      <c r="E5270" s="559"/>
      <c r="F5270" s="559"/>
      <c r="G5270" s="558"/>
      <c r="H5270" s="559"/>
      <c r="I5270" s="559"/>
      <c r="J5270" s="559"/>
      <c r="K5270" s="560"/>
      <c r="L5270" s="560"/>
      <c r="M5270" s="560"/>
    </row>
    <row r="5271" spans="3:13" s="338" customFormat="1">
      <c r="C5271" s="558"/>
      <c r="D5271" s="559"/>
      <c r="E5271" s="559"/>
      <c r="F5271" s="559"/>
      <c r="G5271" s="558"/>
      <c r="H5271" s="559"/>
      <c r="I5271" s="559"/>
      <c r="J5271" s="559"/>
      <c r="K5271" s="560"/>
      <c r="L5271" s="560"/>
      <c r="M5271" s="560"/>
    </row>
    <row r="5272" spans="3:13" s="338" customFormat="1">
      <c r="C5272" s="558"/>
      <c r="D5272" s="559"/>
      <c r="E5272" s="559"/>
      <c r="F5272" s="559"/>
      <c r="G5272" s="558"/>
      <c r="H5272" s="559"/>
      <c r="I5272" s="559"/>
      <c r="J5272" s="559"/>
      <c r="K5272" s="560"/>
      <c r="L5272" s="560"/>
      <c r="M5272" s="560"/>
    </row>
    <row r="5273" spans="3:13" s="338" customFormat="1">
      <c r="C5273" s="558"/>
      <c r="D5273" s="559"/>
      <c r="E5273" s="559"/>
      <c r="F5273" s="559"/>
      <c r="G5273" s="558"/>
      <c r="H5273" s="559"/>
      <c r="I5273" s="559"/>
      <c r="J5273" s="559"/>
      <c r="K5273" s="560"/>
      <c r="L5273" s="560"/>
      <c r="M5273" s="560"/>
    </row>
    <row r="5274" spans="3:13" s="338" customFormat="1">
      <c r="C5274" s="558"/>
      <c r="D5274" s="559"/>
      <c r="E5274" s="559"/>
      <c r="F5274" s="559"/>
      <c r="G5274" s="558"/>
      <c r="H5274" s="559"/>
      <c r="I5274" s="559"/>
      <c r="J5274" s="559"/>
      <c r="K5274" s="560"/>
      <c r="L5274" s="560"/>
      <c r="M5274" s="560"/>
    </row>
    <row r="5275" spans="3:13" s="338" customFormat="1">
      <c r="C5275" s="558"/>
      <c r="D5275" s="559"/>
      <c r="E5275" s="559"/>
      <c r="F5275" s="559"/>
      <c r="G5275" s="558"/>
      <c r="H5275" s="559"/>
      <c r="I5275" s="559"/>
      <c r="J5275" s="559"/>
      <c r="K5275" s="560"/>
      <c r="L5275" s="560"/>
      <c r="M5275" s="560"/>
    </row>
    <row r="5276" spans="3:13" s="338" customFormat="1">
      <c r="C5276" s="558"/>
      <c r="D5276" s="559"/>
      <c r="E5276" s="559"/>
      <c r="F5276" s="559"/>
      <c r="G5276" s="558"/>
      <c r="H5276" s="559"/>
      <c r="I5276" s="559"/>
      <c r="J5276" s="559"/>
      <c r="K5276" s="560"/>
      <c r="L5276" s="560"/>
      <c r="M5276" s="560"/>
    </row>
    <row r="5277" spans="3:13" s="338" customFormat="1">
      <c r="C5277" s="558"/>
      <c r="D5277" s="559"/>
      <c r="E5277" s="559"/>
      <c r="F5277" s="559"/>
      <c r="G5277" s="558"/>
      <c r="H5277" s="559"/>
      <c r="I5277" s="559"/>
      <c r="J5277" s="559"/>
      <c r="K5277" s="560"/>
      <c r="L5277" s="560"/>
      <c r="M5277" s="560"/>
    </row>
    <row r="5278" spans="3:13" s="338" customFormat="1">
      <c r="C5278" s="558"/>
      <c r="D5278" s="559"/>
      <c r="E5278" s="559"/>
      <c r="F5278" s="559"/>
      <c r="G5278" s="558"/>
      <c r="H5278" s="559"/>
      <c r="I5278" s="559"/>
      <c r="J5278" s="559"/>
      <c r="K5278" s="560"/>
      <c r="L5278" s="560"/>
      <c r="M5278" s="560"/>
    </row>
    <row r="5279" spans="3:13" s="338" customFormat="1">
      <c r="C5279" s="558"/>
      <c r="D5279" s="559"/>
      <c r="E5279" s="559"/>
      <c r="F5279" s="559"/>
      <c r="G5279" s="558"/>
      <c r="H5279" s="559"/>
      <c r="I5279" s="559"/>
      <c r="J5279" s="559"/>
      <c r="K5279" s="560"/>
      <c r="L5279" s="560"/>
      <c r="M5279" s="560"/>
    </row>
    <row r="5280" spans="3:13" s="338" customFormat="1">
      <c r="C5280" s="558"/>
      <c r="D5280" s="559"/>
      <c r="E5280" s="559"/>
      <c r="F5280" s="559"/>
      <c r="G5280" s="558"/>
      <c r="H5280" s="559"/>
      <c r="I5280" s="559"/>
      <c r="J5280" s="559"/>
      <c r="K5280" s="560"/>
      <c r="L5280" s="560"/>
      <c r="M5280" s="560"/>
    </row>
    <row r="5281" spans="3:13" s="338" customFormat="1">
      <c r="C5281" s="558"/>
      <c r="D5281" s="559"/>
      <c r="E5281" s="559"/>
      <c r="F5281" s="559"/>
      <c r="G5281" s="558"/>
      <c r="H5281" s="559"/>
      <c r="I5281" s="559"/>
      <c r="J5281" s="559"/>
      <c r="K5281" s="560"/>
      <c r="L5281" s="560"/>
      <c r="M5281" s="560"/>
    </row>
    <row r="5282" spans="3:13" s="338" customFormat="1">
      <c r="C5282" s="558"/>
      <c r="D5282" s="559"/>
      <c r="E5282" s="559"/>
      <c r="F5282" s="559"/>
      <c r="G5282" s="558"/>
      <c r="H5282" s="559"/>
      <c r="I5282" s="559"/>
      <c r="J5282" s="559"/>
      <c r="K5282" s="560"/>
      <c r="L5282" s="560"/>
      <c r="M5282" s="560"/>
    </row>
    <row r="5283" spans="3:13" s="338" customFormat="1">
      <c r="C5283" s="558"/>
      <c r="D5283" s="559"/>
      <c r="E5283" s="559"/>
      <c r="F5283" s="559"/>
      <c r="G5283" s="558"/>
      <c r="H5283" s="559"/>
      <c r="I5283" s="559"/>
      <c r="J5283" s="559"/>
      <c r="K5283" s="560"/>
      <c r="L5283" s="560"/>
      <c r="M5283" s="560"/>
    </row>
    <row r="5284" spans="3:13" s="338" customFormat="1">
      <c r="C5284" s="558"/>
      <c r="D5284" s="559"/>
      <c r="E5284" s="559"/>
      <c r="F5284" s="559"/>
      <c r="G5284" s="558"/>
      <c r="H5284" s="559"/>
      <c r="I5284" s="559"/>
      <c r="J5284" s="559"/>
      <c r="K5284" s="560"/>
      <c r="L5284" s="560"/>
      <c r="M5284" s="560"/>
    </row>
    <row r="5285" spans="3:13" s="338" customFormat="1">
      <c r="C5285" s="558"/>
      <c r="D5285" s="559"/>
      <c r="E5285" s="559"/>
      <c r="F5285" s="559"/>
      <c r="G5285" s="558"/>
      <c r="H5285" s="559"/>
      <c r="I5285" s="559"/>
      <c r="J5285" s="559"/>
      <c r="K5285" s="560"/>
      <c r="L5285" s="560"/>
      <c r="M5285" s="560"/>
    </row>
    <row r="5286" spans="3:13" s="338" customFormat="1">
      <c r="C5286" s="558"/>
      <c r="D5286" s="559"/>
      <c r="E5286" s="559"/>
      <c r="F5286" s="559"/>
      <c r="G5286" s="558"/>
      <c r="H5286" s="559"/>
      <c r="I5286" s="559"/>
      <c r="J5286" s="559"/>
      <c r="K5286" s="560"/>
      <c r="L5286" s="560"/>
      <c r="M5286" s="560"/>
    </row>
    <row r="5287" spans="3:13" s="338" customFormat="1">
      <c r="C5287" s="558"/>
      <c r="D5287" s="559"/>
      <c r="E5287" s="559"/>
      <c r="F5287" s="559"/>
      <c r="G5287" s="558"/>
      <c r="H5287" s="559"/>
      <c r="I5287" s="559"/>
      <c r="J5287" s="559"/>
      <c r="K5287" s="560"/>
      <c r="L5287" s="560"/>
      <c r="M5287" s="560"/>
    </row>
    <row r="5288" spans="3:13" s="338" customFormat="1">
      <c r="C5288" s="558"/>
      <c r="D5288" s="559"/>
      <c r="E5288" s="559"/>
      <c r="F5288" s="559"/>
      <c r="G5288" s="558"/>
      <c r="H5288" s="559"/>
      <c r="I5288" s="559"/>
      <c r="J5288" s="559"/>
      <c r="K5288" s="560"/>
      <c r="L5288" s="560"/>
      <c r="M5288" s="560"/>
    </row>
    <row r="5289" spans="3:13" s="338" customFormat="1">
      <c r="C5289" s="558"/>
      <c r="D5289" s="559"/>
      <c r="E5289" s="559"/>
      <c r="F5289" s="559"/>
      <c r="G5289" s="558"/>
      <c r="H5289" s="559"/>
      <c r="I5289" s="559"/>
      <c r="J5289" s="559"/>
      <c r="K5289" s="560"/>
      <c r="L5289" s="560"/>
      <c r="M5289" s="560"/>
    </row>
    <row r="5290" spans="3:13" s="338" customFormat="1">
      <c r="C5290" s="558"/>
      <c r="D5290" s="559"/>
      <c r="E5290" s="559"/>
      <c r="F5290" s="559"/>
      <c r="G5290" s="558"/>
      <c r="H5290" s="559"/>
      <c r="I5290" s="559"/>
      <c r="J5290" s="559"/>
      <c r="K5290" s="560"/>
      <c r="L5290" s="560"/>
      <c r="M5290" s="560"/>
    </row>
    <row r="5291" spans="3:13" s="338" customFormat="1">
      <c r="C5291" s="558"/>
      <c r="D5291" s="559"/>
      <c r="E5291" s="559"/>
      <c r="F5291" s="559"/>
      <c r="G5291" s="558"/>
      <c r="H5291" s="559"/>
      <c r="I5291" s="559"/>
      <c r="J5291" s="559"/>
      <c r="K5291" s="560"/>
      <c r="L5291" s="560"/>
      <c r="M5291" s="560"/>
    </row>
    <row r="5292" spans="3:13" s="338" customFormat="1">
      <c r="C5292" s="558"/>
      <c r="D5292" s="559"/>
      <c r="E5292" s="559"/>
      <c r="F5292" s="559"/>
      <c r="G5292" s="558"/>
      <c r="H5292" s="559"/>
      <c r="I5292" s="559"/>
      <c r="J5292" s="559"/>
      <c r="K5292" s="560"/>
      <c r="L5292" s="560"/>
      <c r="M5292" s="560"/>
    </row>
    <row r="5293" spans="3:13" s="338" customFormat="1">
      <c r="C5293" s="558"/>
      <c r="D5293" s="559"/>
      <c r="E5293" s="559"/>
      <c r="F5293" s="559"/>
      <c r="G5293" s="558"/>
      <c r="H5293" s="559"/>
      <c r="I5293" s="559"/>
      <c r="J5293" s="559"/>
      <c r="K5293" s="560"/>
      <c r="L5293" s="560"/>
      <c r="M5293" s="560"/>
    </row>
    <row r="5294" spans="3:13" s="338" customFormat="1">
      <c r="C5294" s="558"/>
      <c r="D5294" s="559"/>
      <c r="E5294" s="559"/>
      <c r="F5294" s="559"/>
      <c r="G5294" s="558"/>
      <c r="H5294" s="559"/>
      <c r="I5294" s="559"/>
      <c r="J5294" s="559"/>
      <c r="K5294" s="560"/>
      <c r="L5294" s="560"/>
      <c r="M5294" s="560"/>
    </row>
    <row r="5295" spans="3:13" s="338" customFormat="1">
      <c r="C5295" s="558"/>
      <c r="D5295" s="559"/>
      <c r="E5295" s="559"/>
      <c r="F5295" s="559"/>
      <c r="G5295" s="558"/>
      <c r="H5295" s="559"/>
      <c r="I5295" s="559"/>
      <c r="J5295" s="559"/>
      <c r="K5295" s="560"/>
      <c r="L5295" s="560"/>
      <c r="M5295" s="560"/>
    </row>
    <row r="5296" spans="3:13" s="338" customFormat="1">
      <c r="C5296" s="558"/>
      <c r="D5296" s="559"/>
      <c r="E5296" s="559"/>
      <c r="F5296" s="559"/>
      <c r="G5296" s="558"/>
      <c r="H5296" s="559"/>
      <c r="I5296" s="559"/>
      <c r="J5296" s="559"/>
      <c r="K5296" s="560"/>
      <c r="L5296" s="560"/>
      <c r="M5296" s="560"/>
    </row>
    <row r="5297" spans="3:13" s="338" customFormat="1">
      <c r="C5297" s="558"/>
      <c r="D5297" s="559"/>
      <c r="E5297" s="559"/>
      <c r="F5297" s="559"/>
      <c r="G5297" s="558"/>
      <c r="H5297" s="559"/>
      <c r="I5297" s="559"/>
      <c r="J5297" s="559"/>
      <c r="K5297" s="560"/>
      <c r="L5297" s="560"/>
      <c r="M5297" s="560"/>
    </row>
    <row r="5298" spans="3:13" s="338" customFormat="1">
      <c r="C5298" s="558"/>
      <c r="D5298" s="559"/>
      <c r="E5298" s="559"/>
      <c r="F5298" s="559"/>
      <c r="G5298" s="558"/>
      <c r="H5298" s="559"/>
      <c r="I5298" s="559"/>
      <c r="J5298" s="559"/>
      <c r="K5298" s="560"/>
      <c r="L5298" s="560"/>
      <c r="M5298" s="560"/>
    </row>
    <row r="5299" spans="3:13" s="338" customFormat="1">
      <c r="C5299" s="558"/>
      <c r="D5299" s="559"/>
      <c r="E5299" s="559"/>
      <c r="F5299" s="559"/>
      <c r="G5299" s="558"/>
      <c r="H5299" s="559"/>
      <c r="I5299" s="559"/>
      <c r="J5299" s="559"/>
      <c r="K5299" s="560"/>
      <c r="L5299" s="560"/>
      <c r="M5299" s="560"/>
    </row>
    <row r="5300" spans="3:13" s="338" customFormat="1">
      <c r="C5300" s="558"/>
      <c r="D5300" s="559"/>
      <c r="E5300" s="559"/>
      <c r="F5300" s="559"/>
      <c r="G5300" s="558"/>
      <c r="H5300" s="559"/>
      <c r="I5300" s="559"/>
      <c r="J5300" s="559"/>
      <c r="K5300" s="560"/>
      <c r="L5300" s="560"/>
      <c r="M5300" s="560"/>
    </row>
    <row r="5301" spans="3:13" s="338" customFormat="1">
      <c r="C5301" s="558"/>
      <c r="D5301" s="559"/>
      <c r="E5301" s="559"/>
      <c r="F5301" s="559"/>
      <c r="G5301" s="558"/>
      <c r="H5301" s="559"/>
      <c r="I5301" s="559"/>
      <c r="J5301" s="559"/>
      <c r="K5301" s="560"/>
      <c r="L5301" s="560"/>
      <c r="M5301" s="560"/>
    </row>
    <row r="5302" spans="3:13" s="338" customFormat="1">
      <c r="C5302" s="558"/>
      <c r="D5302" s="559"/>
      <c r="E5302" s="559"/>
      <c r="F5302" s="559"/>
      <c r="G5302" s="558"/>
      <c r="H5302" s="559"/>
      <c r="I5302" s="559"/>
      <c r="J5302" s="559"/>
      <c r="K5302" s="560"/>
      <c r="L5302" s="560"/>
      <c r="M5302" s="560"/>
    </row>
    <row r="5303" spans="3:13" s="338" customFormat="1">
      <c r="C5303" s="558"/>
      <c r="D5303" s="559"/>
      <c r="E5303" s="559"/>
      <c r="F5303" s="559"/>
      <c r="G5303" s="558"/>
      <c r="H5303" s="559"/>
      <c r="I5303" s="559"/>
      <c r="J5303" s="559"/>
      <c r="K5303" s="560"/>
      <c r="L5303" s="560"/>
      <c r="M5303" s="560"/>
    </row>
    <row r="5304" spans="3:13" s="338" customFormat="1">
      <c r="C5304" s="558"/>
      <c r="D5304" s="559"/>
      <c r="E5304" s="559"/>
      <c r="F5304" s="559"/>
      <c r="G5304" s="558"/>
      <c r="H5304" s="559"/>
      <c r="I5304" s="559"/>
      <c r="J5304" s="559"/>
      <c r="K5304" s="560"/>
      <c r="L5304" s="560"/>
      <c r="M5304" s="560"/>
    </row>
    <row r="5305" spans="3:13" s="338" customFormat="1">
      <c r="C5305" s="558"/>
      <c r="D5305" s="559"/>
      <c r="E5305" s="559"/>
      <c r="F5305" s="559"/>
      <c r="G5305" s="558"/>
      <c r="H5305" s="559"/>
      <c r="I5305" s="559"/>
      <c r="J5305" s="559"/>
      <c r="K5305" s="560"/>
      <c r="L5305" s="560"/>
      <c r="M5305" s="560"/>
    </row>
    <row r="5306" spans="3:13" s="338" customFormat="1">
      <c r="C5306" s="558"/>
      <c r="D5306" s="559"/>
      <c r="E5306" s="559"/>
      <c r="F5306" s="559"/>
      <c r="G5306" s="558"/>
      <c r="H5306" s="559"/>
      <c r="I5306" s="559"/>
      <c r="J5306" s="559"/>
      <c r="K5306" s="560"/>
      <c r="L5306" s="560"/>
      <c r="M5306" s="560"/>
    </row>
    <row r="5307" spans="3:13" s="338" customFormat="1">
      <c r="C5307" s="558"/>
      <c r="D5307" s="559"/>
      <c r="E5307" s="559"/>
      <c r="F5307" s="559"/>
      <c r="G5307" s="558"/>
      <c r="H5307" s="559"/>
      <c r="I5307" s="559"/>
      <c r="J5307" s="559"/>
      <c r="K5307" s="560"/>
      <c r="L5307" s="560"/>
      <c r="M5307" s="560"/>
    </row>
    <row r="5308" spans="3:13" s="338" customFormat="1">
      <c r="C5308" s="558"/>
      <c r="D5308" s="559"/>
      <c r="E5308" s="559"/>
      <c r="F5308" s="559"/>
      <c r="G5308" s="558"/>
      <c r="H5308" s="559"/>
      <c r="I5308" s="559"/>
      <c r="J5308" s="559"/>
      <c r="K5308" s="560"/>
      <c r="L5308" s="560"/>
      <c r="M5308" s="560"/>
    </row>
    <row r="5309" spans="3:13" s="338" customFormat="1">
      <c r="C5309" s="558"/>
      <c r="D5309" s="559"/>
      <c r="E5309" s="559"/>
      <c r="F5309" s="559"/>
      <c r="G5309" s="558"/>
      <c r="H5309" s="559"/>
      <c r="I5309" s="559"/>
      <c r="J5309" s="559"/>
      <c r="K5309" s="560"/>
      <c r="L5309" s="560"/>
      <c r="M5309" s="560"/>
    </row>
    <row r="5310" spans="3:13" s="338" customFormat="1">
      <c r="C5310" s="558"/>
      <c r="D5310" s="559"/>
      <c r="E5310" s="559"/>
      <c r="F5310" s="559"/>
      <c r="G5310" s="558"/>
      <c r="H5310" s="559"/>
      <c r="I5310" s="559"/>
      <c r="J5310" s="559"/>
      <c r="K5310" s="560"/>
      <c r="L5310" s="560"/>
      <c r="M5310" s="560"/>
    </row>
    <row r="5311" spans="3:13" s="338" customFormat="1">
      <c r="C5311" s="558"/>
      <c r="D5311" s="559"/>
      <c r="E5311" s="559"/>
      <c r="F5311" s="559"/>
      <c r="G5311" s="558"/>
      <c r="H5311" s="559"/>
      <c r="I5311" s="559"/>
      <c r="J5311" s="559"/>
      <c r="K5311" s="560"/>
      <c r="L5311" s="560"/>
      <c r="M5311" s="560"/>
    </row>
    <row r="5312" spans="3:13" s="338" customFormat="1">
      <c r="C5312" s="558"/>
      <c r="D5312" s="559"/>
      <c r="E5312" s="559"/>
      <c r="F5312" s="559"/>
      <c r="G5312" s="558"/>
      <c r="H5312" s="559"/>
      <c r="I5312" s="559"/>
      <c r="J5312" s="559"/>
      <c r="K5312" s="560"/>
      <c r="L5312" s="560"/>
      <c r="M5312" s="560"/>
    </row>
    <row r="5313" spans="3:13" s="338" customFormat="1">
      <c r="C5313" s="558"/>
      <c r="D5313" s="559"/>
      <c r="E5313" s="559"/>
      <c r="F5313" s="559"/>
      <c r="G5313" s="558"/>
      <c r="H5313" s="559"/>
      <c r="I5313" s="559"/>
      <c r="J5313" s="559"/>
      <c r="K5313" s="560"/>
      <c r="L5313" s="560"/>
      <c r="M5313" s="560"/>
    </row>
    <row r="5314" spans="3:13" s="338" customFormat="1">
      <c r="C5314" s="558"/>
      <c r="D5314" s="559"/>
      <c r="E5314" s="559"/>
      <c r="F5314" s="559"/>
      <c r="G5314" s="558"/>
      <c r="H5314" s="559"/>
      <c r="I5314" s="559"/>
      <c r="J5314" s="559"/>
      <c r="K5314" s="560"/>
      <c r="L5314" s="560"/>
      <c r="M5314" s="560"/>
    </row>
    <row r="5315" spans="3:13" s="338" customFormat="1">
      <c r="C5315" s="558"/>
      <c r="D5315" s="559"/>
      <c r="E5315" s="559"/>
      <c r="F5315" s="559"/>
      <c r="G5315" s="558"/>
      <c r="H5315" s="559"/>
      <c r="I5315" s="559"/>
      <c r="J5315" s="559"/>
      <c r="K5315" s="560"/>
      <c r="L5315" s="560"/>
      <c r="M5315" s="560"/>
    </row>
    <row r="5316" spans="3:13" s="338" customFormat="1">
      <c r="C5316" s="558"/>
      <c r="D5316" s="559"/>
      <c r="E5316" s="559"/>
      <c r="F5316" s="559"/>
      <c r="G5316" s="558"/>
      <c r="H5316" s="559"/>
      <c r="I5316" s="559"/>
      <c r="J5316" s="559"/>
      <c r="K5316" s="560"/>
      <c r="L5316" s="560"/>
      <c r="M5316" s="560"/>
    </row>
    <row r="5317" spans="3:13" s="338" customFormat="1">
      <c r="C5317" s="558"/>
      <c r="D5317" s="559"/>
      <c r="E5317" s="559"/>
      <c r="F5317" s="559"/>
      <c r="G5317" s="558"/>
      <c r="H5317" s="559"/>
      <c r="I5317" s="559"/>
      <c r="J5317" s="559"/>
      <c r="K5317" s="560"/>
      <c r="L5317" s="560"/>
      <c r="M5317" s="560"/>
    </row>
    <row r="5318" spans="3:13" s="338" customFormat="1">
      <c r="C5318" s="558"/>
      <c r="D5318" s="559"/>
      <c r="E5318" s="559"/>
      <c r="F5318" s="559"/>
      <c r="G5318" s="558"/>
      <c r="H5318" s="559"/>
      <c r="I5318" s="559"/>
      <c r="J5318" s="559"/>
      <c r="K5318" s="560"/>
      <c r="L5318" s="560"/>
      <c r="M5318" s="560"/>
    </row>
    <row r="5319" spans="3:13" s="338" customFormat="1">
      <c r="C5319" s="558"/>
      <c r="D5319" s="559"/>
      <c r="E5319" s="559"/>
      <c r="F5319" s="559"/>
      <c r="G5319" s="558"/>
      <c r="H5319" s="559"/>
      <c r="I5319" s="559"/>
      <c r="J5319" s="559"/>
      <c r="K5319" s="560"/>
      <c r="L5319" s="560"/>
      <c r="M5319" s="560"/>
    </row>
    <row r="5320" spans="3:13" s="338" customFormat="1">
      <c r="C5320" s="558"/>
      <c r="D5320" s="559"/>
      <c r="E5320" s="559"/>
      <c r="F5320" s="559"/>
      <c r="G5320" s="558"/>
      <c r="H5320" s="559"/>
      <c r="I5320" s="559"/>
      <c r="J5320" s="559"/>
      <c r="K5320" s="560"/>
      <c r="L5320" s="560"/>
      <c r="M5320" s="560"/>
    </row>
    <row r="5321" spans="3:13" s="338" customFormat="1">
      <c r="C5321" s="558"/>
      <c r="D5321" s="559"/>
      <c r="E5321" s="559"/>
      <c r="F5321" s="559"/>
      <c r="G5321" s="558"/>
      <c r="H5321" s="559"/>
      <c r="I5321" s="559"/>
      <c r="J5321" s="559"/>
      <c r="K5321" s="560"/>
      <c r="L5321" s="560"/>
      <c r="M5321" s="560"/>
    </row>
    <row r="5322" spans="3:13" s="338" customFormat="1">
      <c r="C5322" s="558"/>
      <c r="D5322" s="559"/>
      <c r="E5322" s="559"/>
      <c r="F5322" s="559"/>
      <c r="G5322" s="558"/>
      <c r="H5322" s="559"/>
      <c r="I5322" s="559"/>
      <c r="J5322" s="559"/>
      <c r="K5322" s="560"/>
      <c r="L5322" s="560"/>
      <c r="M5322" s="560"/>
    </row>
    <row r="5323" spans="3:13" s="338" customFormat="1">
      <c r="C5323" s="558"/>
      <c r="D5323" s="559"/>
      <c r="E5323" s="559"/>
      <c r="F5323" s="559"/>
      <c r="G5323" s="558"/>
      <c r="H5323" s="559"/>
      <c r="I5323" s="559"/>
      <c r="J5323" s="559"/>
      <c r="K5323" s="560"/>
      <c r="L5323" s="560"/>
      <c r="M5323" s="560"/>
    </row>
    <row r="5324" spans="3:13" s="338" customFormat="1">
      <c r="C5324" s="558"/>
      <c r="D5324" s="559"/>
      <c r="E5324" s="559"/>
      <c r="F5324" s="559"/>
      <c r="G5324" s="558"/>
      <c r="H5324" s="559"/>
      <c r="I5324" s="559"/>
      <c r="J5324" s="559"/>
      <c r="K5324" s="560"/>
      <c r="L5324" s="560"/>
      <c r="M5324" s="560"/>
    </row>
    <row r="5325" spans="3:13" s="338" customFormat="1">
      <c r="C5325" s="558"/>
      <c r="D5325" s="559"/>
      <c r="E5325" s="559"/>
      <c r="F5325" s="559"/>
      <c r="G5325" s="558"/>
      <c r="H5325" s="559"/>
      <c r="I5325" s="559"/>
      <c r="J5325" s="559"/>
      <c r="K5325" s="560"/>
      <c r="L5325" s="560"/>
      <c r="M5325" s="560"/>
    </row>
    <row r="5326" spans="3:13" s="338" customFormat="1">
      <c r="C5326" s="558"/>
      <c r="D5326" s="559"/>
      <c r="E5326" s="559"/>
      <c r="F5326" s="559"/>
      <c r="G5326" s="558"/>
      <c r="H5326" s="559"/>
      <c r="I5326" s="559"/>
      <c r="J5326" s="559"/>
      <c r="K5326" s="560"/>
      <c r="L5326" s="560"/>
      <c r="M5326" s="560"/>
    </row>
    <row r="5327" spans="3:13" s="338" customFormat="1">
      <c r="C5327" s="558"/>
      <c r="D5327" s="559"/>
      <c r="E5327" s="559"/>
      <c r="F5327" s="559"/>
      <c r="G5327" s="558"/>
      <c r="H5327" s="559"/>
      <c r="I5327" s="559"/>
      <c r="J5327" s="559"/>
      <c r="K5327" s="560"/>
      <c r="L5327" s="560"/>
      <c r="M5327" s="560"/>
    </row>
    <row r="5328" spans="3:13" s="338" customFormat="1">
      <c r="C5328" s="558"/>
      <c r="D5328" s="559"/>
      <c r="E5328" s="559"/>
      <c r="F5328" s="559"/>
      <c r="G5328" s="558"/>
      <c r="H5328" s="559"/>
      <c r="I5328" s="559"/>
      <c r="J5328" s="559"/>
      <c r="K5328" s="560"/>
      <c r="L5328" s="560"/>
      <c r="M5328" s="560"/>
    </row>
    <row r="5329" spans="3:13" s="338" customFormat="1">
      <c r="C5329" s="558"/>
      <c r="D5329" s="559"/>
      <c r="E5329" s="559"/>
      <c r="F5329" s="559"/>
      <c r="G5329" s="558"/>
      <c r="H5329" s="559"/>
      <c r="I5329" s="559"/>
      <c r="J5329" s="559"/>
      <c r="K5329" s="560"/>
      <c r="L5329" s="560"/>
      <c r="M5329" s="560"/>
    </row>
    <row r="5330" spans="3:13" s="338" customFormat="1">
      <c r="C5330" s="558"/>
      <c r="D5330" s="559"/>
      <c r="E5330" s="559"/>
      <c r="F5330" s="559"/>
      <c r="G5330" s="558"/>
      <c r="H5330" s="559"/>
      <c r="I5330" s="559"/>
      <c r="J5330" s="559"/>
      <c r="K5330" s="560"/>
      <c r="L5330" s="560"/>
      <c r="M5330" s="560"/>
    </row>
    <row r="5331" spans="3:13" s="338" customFormat="1">
      <c r="C5331" s="558"/>
      <c r="D5331" s="559"/>
      <c r="E5331" s="559"/>
      <c r="F5331" s="559"/>
      <c r="G5331" s="558"/>
      <c r="H5331" s="559"/>
      <c r="I5331" s="559"/>
      <c r="J5331" s="559"/>
      <c r="K5331" s="560"/>
      <c r="L5331" s="560"/>
      <c r="M5331" s="560"/>
    </row>
    <row r="5332" spans="3:13" s="338" customFormat="1">
      <c r="C5332" s="558"/>
      <c r="D5332" s="559"/>
      <c r="E5332" s="559"/>
      <c r="F5332" s="559"/>
      <c r="G5332" s="558"/>
      <c r="H5332" s="559"/>
      <c r="I5332" s="559"/>
      <c r="J5332" s="559"/>
      <c r="K5332" s="560"/>
      <c r="L5332" s="560"/>
      <c r="M5332" s="560"/>
    </row>
    <row r="5333" spans="3:13" s="338" customFormat="1">
      <c r="C5333" s="558"/>
      <c r="D5333" s="559"/>
      <c r="E5333" s="559"/>
      <c r="F5333" s="559"/>
      <c r="G5333" s="558"/>
      <c r="H5333" s="559"/>
      <c r="I5333" s="559"/>
      <c r="J5333" s="559"/>
      <c r="K5333" s="560"/>
      <c r="L5333" s="560"/>
      <c r="M5333" s="560"/>
    </row>
    <row r="5334" spans="3:13" s="338" customFormat="1">
      <c r="C5334" s="558"/>
      <c r="D5334" s="559"/>
      <c r="E5334" s="559"/>
      <c r="F5334" s="559"/>
      <c r="G5334" s="558"/>
      <c r="H5334" s="559"/>
      <c r="I5334" s="559"/>
      <c r="J5334" s="559"/>
      <c r="K5334" s="560"/>
      <c r="L5334" s="560"/>
      <c r="M5334" s="560"/>
    </row>
    <row r="5335" spans="3:13" s="338" customFormat="1">
      <c r="C5335" s="558"/>
      <c r="D5335" s="559"/>
      <c r="E5335" s="559"/>
      <c r="F5335" s="559"/>
      <c r="G5335" s="558"/>
      <c r="H5335" s="559"/>
      <c r="I5335" s="559"/>
      <c r="J5335" s="559"/>
      <c r="K5335" s="560"/>
      <c r="L5335" s="560"/>
      <c r="M5335" s="560"/>
    </row>
    <row r="5336" spans="3:13" s="338" customFormat="1">
      <c r="C5336" s="558"/>
      <c r="D5336" s="559"/>
      <c r="E5336" s="559"/>
      <c r="F5336" s="559"/>
      <c r="G5336" s="558"/>
      <c r="H5336" s="559"/>
      <c r="I5336" s="559"/>
      <c r="J5336" s="559"/>
      <c r="K5336" s="560"/>
      <c r="L5336" s="560"/>
      <c r="M5336" s="560"/>
    </row>
    <row r="5337" spans="3:13" s="338" customFormat="1">
      <c r="C5337" s="558"/>
      <c r="D5337" s="559"/>
      <c r="E5337" s="559"/>
      <c r="F5337" s="559"/>
      <c r="G5337" s="558"/>
      <c r="H5337" s="559"/>
      <c r="I5337" s="559"/>
      <c r="J5337" s="559"/>
      <c r="K5337" s="560"/>
      <c r="L5337" s="560"/>
      <c r="M5337" s="560"/>
    </row>
    <row r="5338" spans="3:13" s="338" customFormat="1">
      <c r="C5338" s="558"/>
      <c r="D5338" s="559"/>
      <c r="E5338" s="559"/>
      <c r="F5338" s="559"/>
      <c r="G5338" s="558"/>
      <c r="H5338" s="559"/>
      <c r="I5338" s="559"/>
      <c r="J5338" s="559"/>
      <c r="K5338" s="560"/>
      <c r="L5338" s="560"/>
      <c r="M5338" s="560"/>
    </row>
    <row r="5339" spans="3:13" s="338" customFormat="1">
      <c r="C5339" s="558"/>
      <c r="D5339" s="559"/>
      <c r="E5339" s="559"/>
      <c r="F5339" s="559"/>
      <c r="G5339" s="558"/>
      <c r="H5339" s="559"/>
      <c r="I5339" s="559"/>
      <c r="J5339" s="559"/>
      <c r="K5339" s="560"/>
      <c r="L5339" s="560"/>
      <c r="M5339" s="560"/>
    </row>
    <row r="5340" spans="3:13" s="338" customFormat="1">
      <c r="C5340" s="558"/>
      <c r="D5340" s="559"/>
      <c r="E5340" s="559"/>
      <c r="F5340" s="559"/>
      <c r="G5340" s="558"/>
      <c r="H5340" s="559"/>
      <c r="I5340" s="559"/>
      <c r="J5340" s="559"/>
      <c r="K5340" s="560"/>
      <c r="L5340" s="560"/>
      <c r="M5340" s="560"/>
    </row>
    <row r="5341" spans="3:13" s="338" customFormat="1">
      <c r="C5341" s="558"/>
      <c r="D5341" s="559"/>
      <c r="E5341" s="559"/>
      <c r="F5341" s="559"/>
      <c r="G5341" s="558"/>
      <c r="H5341" s="559"/>
      <c r="I5341" s="559"/>
      <c r="J5341" s="559"/>
      <c r="K5341" s="560"/>
      <c r="L5341" s="560"/>
      <c r="M5341" s="560"/>
    </row>
    <row r="5342" spans="3:13" s="338" customFormat="1">
      <c r="C5342" s="558"/>
      <c r="D5342" s="559"/>
      <c r="E5342" s="559"/>
      <c r="F5342" s="559"/>
      <c r="G5342" s="558"/>
      <c r="H5342" s="559"/>
      <c r="I5342" s="559"/>
      <c r="J5342" s="559"/>
      <c r="K5342" s="560"/>
      <c r="L5342" s="560"/>
      <c r="M5342" s="560"/>
    </row>
    <row r="5343" spans="3:13" s="338" customFormat="1">
      <c r="C5343" s="558"/>
      <c r="D5343" s="559"/>
      <c r="E5343" s="559"/>
      <c r="F5343" s="559"/>
      <c r="G5343" s="558"/>
      <c r="H5343" s="559"/>
      <c r="I5343" s="559"/>
      <c r="J5343" s="559"/>
      <c r="K5343" s="560"/>
      <c r="L5343" s="560"/>
      <c r="M5343" s="560"/>
    </row>
    <row r="5344" spans="3:13" s="338" customFormat="1">
      <c r="C5344" s="558"/>
      <c r="D5344" s="559"/>
      <c r="E5344" s="559"/>
      <c r="F5344" s="559"/>
      <c r="G5344" s="558"/>
      <c r="H5344" s="559"/>
      <c r="I5344" s="559"/>
      <c r="J5344" s="559"/>
      <c r="K5344" s="560"/>
      <c r="L5344" s="560"/>
      <c r="M5344" s="560"/>
    </row>
    <row r="5345" spans="3:13" s="338" customFormat="1">
      <c r="C5345" s="558"/>
      <c r="D5345" s="559"/>
      <c r="E5345" s="559"/>
      <c r="F5345" s="559"/>
      <c r="G5345" s="558"/>
      <c r="H5345" s="559"/>
      <c r="I5345" s="559"/>
      <c r="J5345" s="559"/>
      <c r="K5345" s="560"/>
      <c r="L5345" s="560"/>
      <c r="M5345" s="560"/>
    </row>
    <row r="5346" spans="3:13" s="338" customFormat="1">
      <c r="C5346" s="558"/>
      <c r="D5346" s="559"/>
      <c r="E5346" s="559"/>
      <c r="F5346" s="559"/>
      <c r="G5346" s="558"/>
      <c r="H5346" s="559"/>
      <c r="I5346" s="559"/>
      <c r="J5346" s="559"/>
      <c r="K5346" s="560"/>
      <c r="L5346" s="560"/>
      <c r="M5346" s="560"/>
    </row>
    <row r="5347" spans="3:13" s="338" customFormat="1">
      <c r="C5347" s="558"/>
      <c r="D5347" s="559"/>
      <c r="E5347" s="559"/>
      <c r="F5347" s="559"/>
      <c r="G5347" s="558"/>
      <c r="H5347" s="559"/>
      <c r="I5347" s="559"/>
      <c r="J5347" s="559"/>
      <c r="K5347" s="560"/>
      <c r="L5347" s="560"/>
      <c r="M5347" s="560"/>
    </row>
    <row r="5348" spans="3:13" s="338" customFormat="1">
      <c r="C5348" s="558"/>
      <c r="D5348" s="559"/>
      <c r="E5348" s="559"/>
      <c r="F5348" s="559"/>
      <c r="G5348" s="558"/>
      <c r="H5348" s="559"/>
      <c r="I5348" s="559"/>
      <c r="J5348" s="559"/>
      <c r="K5348" s="560"/>
      <c r="L5348" s="560"/>
      <c r="M5348" s="560"/>
    </row>
    <row r="5349" spans="3:13" s="338" customFormat="1">
      <c r="C5349" s="558"/>
      <c r="D5349" s="559"/>
      <c r="E5349" s="559"/>
      <c r="F5349" s="559"/>
      <c r="G5349" s="558"/>
      <c r="H5349" s="559"/>
      <c r="I5349" s="559"/>
      <c r="J5349" s="559"/>
      <c r="K5349" s="560"/>
      <c r="L5349" s="560"/>
      <c r="M5349" s="560"/>
    </row>
    <row r="5350" spans="3:13" s="338" customFormat="1">
      <c r="C5350" s="558"/>
      <c r="D5350" s="559"/>
      <c r="E5350" s="559"/>
      <c r="F5350" s="559"/>
      <c r="G5350" s="558"/>
      <c r="H5350" s="559"/>
      <c r="I5350" s="559"/>
      <c r="J5350" s="559"/>
      <c r="K5350" s="560"/>
      <c r="L5350" s="560"/>
      <c r="M5350" s="560"/>
    </row>
    <row r="5351" spans="3:13" s="338" customFormat="1">
      <c r="C5351" s="558"/>
      <c r="D5351" s="559"/>
      <c r="E5351" s="559"/>
      <c r="F5351" s="559"/>
      <c r="G5351" s="558"/>
      <c r="H5351" s="559"/>
      <c r="I5351" s="559"/>
      <c r="J5351" s="559"/>
      <c r="K5351" s="560"/>
      <c r="L5351" s="560"/>
      <c r="M5351" s="560"/>
    </row>
    <row r="5352" spans="3:13" s="338" customFormat="1">
      <c r="C5352" s="558"/>
      <c r="D5352" s="559"/>
      <c r="E5352" s="559"/>
      <c r="F5352" s="559"/>
      <c r="G5352" s="558"/>
      <c r="H5352" s="559"/>
      <c r="I5352" s="559"/>
      <c r="J5352" s="559"/>
      <c r="K5352" s="560"/>
      <c r="L5352" s="560"/>
      <c r="M5352" s="560"/>
    </row>
    <row r="5353" spans="3:13" s="338" customFormat="1">
      <c r="C5353" s="558"/>
      <c r="D5353" s="559"/>
      <c r="E5353" s="559"/>
      <c r="F5353" s="559"/>
      <c r="G5353" s="558"/>
      <c r="H5353" s="559"/>
      <c r="I5353" s="559"/>
      <c r="J5353" s="559"/>
      <c r="K5353" s="560"/>
      <c r="L5353" s="560"/>
      <c r="M5353" s="560"/>
    </row>
    <row r="5354" spans="3:13" s="338" customFormat="1">
      <c r="C5354" s="558"/>
      <c r="D5354" s="559"/>
      <c r="E5354" s="559"/>
      <c r="F5354" s="559"/>
      <c r="G5354" s="558"/>
      <c r="H5354" s="559"/>
      <c r="I5354" s="559"/>
      <c r="J5354" s="559"/>
      <c r="K5354" s="560"/>
      <c r="L5354" s="560"/>
      <c r="M5354" s="560"/>
    </row>
    <row r="5355" spans="3:13" s="338" customFormat="1">
      <c r="C5355" s="558"/>
      <c r="D5355" s="559"/>
      <c r="E5355" s="559"/>
      <c r="F5355" s="559"/>
      <c r="G5355" s="558"/>
      <c r="H5355" s="559"/>
      <c r="I5355" s="559"/>
      <c r="J5355" s="559"/>
      <c r="K5355" s="560"/>
      <c r="L5355" s="560"/>
      <c r="M5355" s="560"/>
    </row>
    <row r="5356" spans="3:13" s="338" customFormat="1">
      <c r="C5356" s="558"/>
      <c r="D5356" s="559"/>
      <c r="E5356" s="559"/>
      <c r="F5356" s="559"/>
      <c r="G5356" s="558"/>
      <c r="H5356" s="559"/>
      <c r="I5356" s="559"/>
      <c r="J5356" s="559"/>
      <c r="K5356" s="560"/>
      <c r="L5356" s="560"/>
      <c r="M5356" s="560"/>
    </row>
    <row r="5357" spans="3:13" s="338" customFormat="1">
      <c r="C5357" s="558"/>
      <c r="D5357" s="559"/>
      <c r="E5357" s="559"/>
      <c r="F5357" s="559"/>
      <c r="G5357" s="558"/>
      <c r="H5357" s="559"/>
      <c r="I5357" s="559"/>
      <c r="J5357" s="559"/>
      <c r="K5357" s="560"/>
      <c r="L5357" s="560"/>
      <c r="M5357" s="560"/>
    </row>
    <row r="5358" spans="3:13" s="338" customFormat="1">
      <c r="C5358" s="558"/>
      <c r="D5358" s="559"/>
      <c r="E5358" s="559"/>
      <c r="F5358" s="559"/>
      <c r="G5358" s="558"/>
      <c r="H5358" s="559"/>
      <c r="I5358" s="559"/>
      <c r="J5358" s="559"/>
      <c r="K5358" s="560"/>
      <c r="L5358" s="560"/>
      <c r="M5358" s="560"/>
    </row>
    <row r="5359" spans="3:13" s="338" customFormat="1">
      <c r="C5359" s="558"/>
      <c r="D5359" s="559"/>
      <c r="E5359" s="559"/>
      <c r="F5359" s="559"/>
      <c r="G5359" s="558"/>
      <c r="H5359" s="559"/>
      <c r="I5359" s="559"/>
      <c r="J5359" s="559"/>
      <c r="K5359" s="560"/>
      <c r="L5359" s="560"/>
      <c r="M5359" s="560"/>
    </row>
    <row r="5360" spans="3:13" s="338" customFormat="1">
      <c r="C5360" s="558"/>
      <c r="D5360" s="559"/>
      <c r="E5360" s="559"/>
      <c r="F5360" s="559"/>
      <c r="G5360" s="558"/>
      <c r="H5360" s="559"/>
      <c r="I5360" s="559"/>
      <c r="J5360" s="559"/>
      <c r="K5360" s="560"/>
      <c r="L5360" s="560"/>
      <c r="M5360" s="560"/>
    </row>
    <row r="5361" spans="3:13" s="338" customFormat="1">
      <c r="C5361" s="558"/>
      <c r="D5361" s="559"/>
      <c r="E5361" s="559"/>
      <c r="F5361" s="559"/>
      <c r="G5361" s="558"/>
      <c r="H5361" s="559"/>
      <c r="I5361" s="559"/>
      <c r="J5361" s="559"/>
      <c r="K5361" s="560"/>
      <c r="L5361" s="560"/>
      <c r="M5361" s="560"/>
    </row>
    <row r="5362" spans="3:13" s="338" customFormat="1">
      <c r="C5362" s="558"/>
      <c r="D5362" s="559"/>
      <c r="E5362" s="559"/>
      <c r="F5362" s="559"/>
      <c r="G5362" s="558"/>
      <c r="H5362" s="559"/>
      <c r="I5362" s="559"/>
      <c r="J5362" s="559"/>
      <c r="K5362" s="560"/>
      <c r="L5362" s="560"/>
      <c r="M5362" s="560"/>
    </row>
    <row r="5363" spans="3:13" s="338" customFormat="1">
      <c r="C5363" s="558"/>
      <c r="D5363" s="559"/>
      <c r="E5363" s="559"/>
      <c r="F5363" s="559"/>
      <c r="G5363" s="558"/>
      <c r="H5363" s="559"/>
      <c r="I5363" s="559"/>
      <c r="J5363" s="559"/>
      <c r="K5363" s="560"/>
      <c r="L5363" s="560"/>
      <c r="M5363" s="560"/>
    </row>
    <row r="5364" spans="3:13" s="338" customFormat="1">
      <c r="C5364" s="558"/>
      <c r="D5364" s="559"/>
      <c r="E5364" s="559"/>
      <c r="F5364" s="559"/>
      <c r="G5364" s="558"/>
      <c r="H5364" s="559"/>
      <c r="I5364" s="559"/>
      <c r="J5364" s="559"/>
      <c r="K5364" s="560"/>
      <c r="L5364" s="560"/>
      <c r="M5364" s="560"/>
    </row>
    <row r="5365" spans="3:13" s="338" customFormat="1">
      <c r="C5365" s="558"/>
      <c r="D5365" s="559"/>
      <c r="E5365" s="559"/>
      <c r="F5365" s="559"/>
      <c r="G5365" s="558"/>
      <c r="H5365" s="559"/>
      <c r="I5365" s="559"/>
      <c r="J5365" s="559"/>
      <c r="K5365" s="560"/>
      <c r="L5365" s="560"/>
      <c r="M5365" s="560"/>
    </row>
    <row r="5366" spans="3:13" s="338" customFormat="1">
      <c r="C5366" s="558"/>
      <c r="D5366" s="559"/>
      <c r="E5366" s="559"/>
      <c r="F5366" s="559"/>
      <c r="G5366" s="558"/>
      <c r="H5366" s="559"/>
      <c r="I5366" s="559"/>
      <c r="J5366" s="559"/>
      <c r="K5366" s="560"/>
      <c r="L5366" s="560"/>
      <c r="M5366" s="560"/>
    </row>
    <row r="5367" spans="3:13" s="338" customFormat="1">
      <c r="C5367" s="558"/>
      <c r="D5367" s="559"/>
      <c r="E5367" s="559"/>
      <c r="F5367" s="559"/>
      <c r="G5367" s="558"/>
      <c r="H5367" s="559"/>
      <c r="I5367" s="559"/>
      <c r="J5367" s="559"/>
      <c r="K5367" s="560"/>
      <c r="L5367" s="560"/>
      <c r="M5367" s="560"/>
    </row>
    <row r="5368" spans="3:13" s="338" customFormat="1">
      <c r="C5368" s="558"/>
      <c r="D5368" s="559"/>
      <c r="E5368" s="559"/>
      <c r="F5368" s="559"/>
      <c r="G5368" s="558"/>
      <c r="H5368" s="559"/>
      <c r="I5368" s="559"/>
      <c r="J5368" s="559"/>
      <c r="K5368" s="560"/>
      <c r="L5368" s="560"/>
      <c r="M5368" s="560"/>
    </row>
    <row r="5369" spans="3:13" s="338" customFormat="1">
      <c r="C5369" s="558"/>
      <c r="D5369" s="559"/>
      <c r="E5369" s="559"/>
      <c r="F5369" s="559"/>
      <c r="G5369" s="558"/>
      <c r="H5369" s="559"/>
      <c r="I5369" s="559"/>
      <c r="J5369" s="559"/>
      <c r="K5369" s="560"/>
      <c r="L5369" s="560"/>
      <c r="M5369" s="560"/>
    </row>
    <row r="5370" spans="3:13" s="338" customFormat="1">
      <c r="C5370" s="558"/>
      <c r="D5370" s="559"/>
      <c r="E5370" s="559"/>
      <c r="F5370" s="559"/>
      <c r="G5370" s="558"/>
      <c r="H5370" s="559"/>
      <c r="I5370" s="559"/>
      <c r="J5370" s="559"/>
      <c r="K5370" s="560"/>
      <c r="L5370" s="560"/>
      <c r="M5370" s="560"/>
    </row>
    <row r="5371" spans="3:13" s="338" customFormat="1">
      <c r="C5371" s="558"/>
      <c r="D5371" s="559"/>
      <c r="E5371" s="559"/>
      <c r="F5371" s="559"/>
      <c r="G5371" s="558"/>
      <c r="H5371" s="559"/>
      <c r="I5371" s="559"/>
      <c r="J5371" s="559"/>
      <c r="K5371" s="560"/>
      <c r="L5371" s="560"/>
      <c r="M5371" s="560"/>
    </row>
    <row r="5372" spans="3:13" s="338" customFormat="1">
      <c r="C5372" s="558"/>
      <c r="D5372" s="559"/>
      <c r="E5372" s="559"/>
      <c r="F5372" s="559"/>
      <c r="G5372" s="558"/>
      <c r="H5372" s="559"/>
      <c r="I5372" s="559"/>
      <c r="J5372" s="559"/>
      <c r="K5372" s="560"/>
      <c r="L5372" s="560"/>
      <c r="M5372" s="560"/>
    </row>
    <row r="5373" spans="3:13" s="338" customFormat="1">
      <c r="C5373" s="558"/>
      <c r="D5373" s="559"/>
      <c r="E5373" s="559"/>
      <c r="F5373" s="559"/>
      <c r="G5373" s="558"/>
      <c r="H5373" s="559"/>
      <c r="I5373" s="559"/>
      <c r="J5373" s="559"/>
      <c r="K5373" s="560"/>
      <c r="L5373" s="560"/>
      <c r="M5373" s="560"/>
    </row>
    <row r="5374" spans="3:13" s="338" customFormat="1">
      <c r="C5374" s="558"/>
      <c r="D5374" s="559"/>
      <c r="E5374" s="559"/>
      <c r="F5374" s="559"/>
      <c r="G5374" s="558"/>
      <c r="H5374" s="559"/>
      <c r="I5374" s="559"/>
      <c r="J5374" s="559"/>
      <c r="K5374" s="560"/>
      <c r="L5374" s="560"/>
      <c r="M5374" s="560"/>
    </row>
    <row r="5375" spans="3:13" s="338" customFormat="1">
      <c r="C5375" s="558"/>
      <c r="D5375" s="559"/>
      <c r="E5375" s="559"/>
      <c r="F5375" s="559"/>
      <c r="G5375" s="558"/>
      <c r="H5375" s="559"/>
      <c r="I5375" s="559"/>
      <c r="J5375" s="559"/>
      <c r="K5375" s="560"/>
      <c r="L5375" s="560"/>
      <c r="M5375" s="560"/>
    </row>
    <row r="5376" spans="3:13" s="338" customFormat="1">
      <c r="C5376" s="558"/>
      <c r="D5376" s="559"/>
      <c r="E5376" s="559"/>
      <c r="F5376" s="559"/>
      <c r="G5376" s="558"/>
      <c r="H5376" s="559"/>
      <c r="I5376" s="559"/>
      <c r="J5376" s="559"/>
      <c r="K5376" s="560"/>
      <c r="L5376" s="560"/>
      <c r="M5376" s="560"/>
    </row>
    <row r="5377" spans="3:13" s="338" customFormat="1">
      <c r="C5377" s="558"/>
      <c r="D5377" s="559"/>
      <c r="E5377" s="559"/>
      <c r="F5377" s="559"/>
      <c r="G5377" s="558"/>
      <c r="H5377" s="559"/>
      <c r="I5377" s="559"/>
      <c r="J5377" s="559"/>
      <c r="K5377" s="560"/>
      <c r="L5377" s="560"/>
      <c r="M5377" s="560"/>
    </row>
    <row r="5378" spans="3:13" s="338" customFormat="1">
      <c r="C5378" s="558"/>
      <c r="D5378" s="559"/>
      <c r="E5378" s="559"/>
      <c r="F5378" s="559"/>
      <c r="G5378" s="558"/>
      <c r="H5378" s="559"/>
      <c r="I5378" s="559"/>
      <c r="J5378" s="559"/>
      <c r="K5378" s="560"/>
      <c r="L5378" s="560"/>
      <c r="M5378" s="560"/>
    </row>
    <row r="5379" spans="3:13" s="338" customFormat="1">
      <c r="C5379" s="558"/>
      <c r="D5379" s="559"/>
      <c r="E5379" s="559"/>
      <c r="F5379" s="559"/>
      <c r="G5379" s="558"/>
      <c r="H5379" s="559"/>
      <c r="I5379" s="559"/>
      <c r="J5379" s="559"/>
      <c r="K5379" s="560"/>
      <c r="L5379" s="560"/>
      <c r="M5379" s="560"/>
    </row>
    <row r="5380" spans="3:13" s="338" customFormat="1">
      <c r="C5380" s="558"/>
      <c r="D5380" s="559"/>
      <c r="E5380" s="559"/>
      <c r="F5380" s="559"/>
      <c r="G5380" s="558"/>
      <c r="H5380" s="559"/>
      <c r="I5380" s="559"/>
      <c r="J5380" s="559"/>
      <c r="K5380" s="560"/>
      <c r="L5380" s="560"/>
      <c r="M5380" s="560"/>
    </row>
    <row r="5381" spans="3:13" s="338" customFormat="1">
      <c r="C5381" s="558"/>
      <c r="D5381" s="559"/>
      <c r="E5381" s="559"/>
      <c r="F5381" s="559"/>
      <c r="G5381" s="558"/>
      <c r="H5381" s="559"/>
      <c r="I5381" s="559"/>
      <c r="J5381" s="559"/>
      <c r="K5381" s="560"/>
      <c r="L5381" s="560"/>
      <c r="M5381" s="560"/>
    </row>
    <row r="5382" spans="3:13" s="338" customFormat="1">
      <c r="C5382" s="558"/>
      <c r="D5382" s="559"/>
      <c r="E5382" s="559"/>
      <c r="F5382" s="559"/>
      <c r="G5382" s="558"/>
      <c r="H5382" s="559"/>
      <c r="I5382" s="559"/>
      <c r="J5382" s="559"/>
      <c r="K5382" s="560"/>
      <c r="L5382" s="560"/>
      <c r="M5382" s="560"/>
    </row>
    <row r="5383" spans="3:13" s="338" customFormat="1">
      <c r="C5383" s="558"/>
      <c r="D5383" s="559"/>
      <c r="E5383" s="559"/>
      <c r="F5383" s="559"/>
      <c r="G5383" s="558"/>
      <c r="H5383" s="559"/>
      <c r="I5383" s="559"/>
      <c r="J5383" s="559"/>
      <c r="K5383" s="560"/>
      <c r="L5383" s="560"/>
      <c r="M5383" s="560"/>
    </row>
    <row r="5384" spans="3:13" s="338" customFormat="1">
      <c r="C5384" s="558"/>
      <c r="D5384" s="559"/>
      <c r="E5384" s="559"/>
      <c r="F5384" s="559"/>
      <c r="G5384" s="558"/>
      <c r="H5384" s="559"/>
      <c r="I5384" s="559"/>
      <c r="J5384" s="559"/>
      <c r="K5384" s="560"/>
      <c r="L5384" s="560"/>
      <c r="M5384" s="560"/>
    </row>
    <row r="5385" spans="3:13" s="338" customFormat="1">
      <c r="C5385" s="558"/>
      <c r="D5385" s="559"/>
      <c r="E5385" s="559"/>
      <c r="F5385" s="559"/>
      <c r="G5385" s="558"/>
      <c r="H5385" s="559"/>
      <c r="I5385" s="559"/>
      <c r="J5385" s="559"/>
      <c r="K5385" s="560"/>
      <c r="L5385" s="560"/>
      <c r="M5385" s="560"/>
    </row>
    <row r="5386" spans="3:13" s="338" customFormat="1">
      <c r="C5386" s="558"/>
      <c r="D5386" s="559"/>
      <c r="E5386" s="559"/>
      <c r="F5386" s="559"/>
      <c r="G5386" s="558"/>
      <c r="H5386" s="559"/>
      <c r="I5386" s="559"/>
      <c r="J5386" s="559"/>
      <c r="K5386" s="560"/>
      <c r="L5386" s="560"/>
      <c r="M5386" s="560"/>
    </row>
    <row r="5387" spans="3:13" s="338" customFormat="1">
      <c r="C5387" s="558"/>
      <c r="D5387" s="559"/>
      <c r="E5387" s="559"/>
      <c r="F5387" s="559"/>
      <c r="G5387" s="558"/>
      <c r="H5387" s="559"/>
      <c r="I5387" s="559"/>
      <c r="J5387" s="559"/>
      <c r="K5387" s="560"/>
      <c r="L5387" s="560"/>
      <c r="M5387" s="560"/>
    </row>
    <row r="5388" spans="3:13" s="338" customFormat="1">
      <c r="C5388" s="558"/>
      <c r="D5388" s="559"/>
      <c r="E5388" s="559"/>
      <c r="F5388" s="559"/>
      <c r="G5388" s="558"/>
      <c r="H5388" s="559"/>
      <c r="I5388" s="559"/>
      <c r="J5388" s="559"/>
      <c r="K5388" s="560"/>
      <c r="L5388" s="560"/>
      <c r="M5388" s="560"/>
    </row>
    <row r="5389" spans="3:13" s="338" customFormat="1">
      <c r="C5389" s="558"/>
      <c r="D5389" s="559"/>
      <c r="E5389" s="559"/>
      <c r="F5389" s="559"/>
      <c r="G5389" s="558"/>
      <c r="H5389" s="559"/>
      <c r="I5389" s="559"/>
      <c r="J5389" s="559"/>
      <c r="K5389" s="560"/>
      <c r="L5389" s="560"/>
      <c r="M5389" s="560"/>
    </row>
    <row r="5390" spans="3:13" s="338" customFormat="1">
      <c r="C5390" s="558"/>
      <c r="D5390" s="559"/>
      <c r="E5390" s="559"/>
      <c r="F5390" s="559"/>
      <c r="G5390" s="558"/>
      <c r="H5390" s="559"/>
      <c r="I5390" s="559"/>
      <c r="J5390" s="559"/>
      <c r="K5390" s="560"/>
      <c r="L5390" s="560"/>
      <c r="M5390" s="560"/>
    </row>
    <row r="5391" spans="3:13" s="338" customFormat="1">
      <c r="C5391" s="558"/>
      <c r="D5391" s="559"/>
      <c r="E5391" s="559"/>
      <c r="F5391" s="559"/>
      <c r="G5391" s="558"/>
      <c r="H5391" s="559"/>
      <c r="I5391" s="559"/>
      <c r="J5391" s="559"/>
      <c r="K5391" s="560"/>
      <c r="L5391" s="560"/>
      <c r="M5391" s="560"/>
    </row>
    <row r="5392" spans="3:13" s="338" customFormat="1">
      <c r="C5392" s="558"/>
      <c r="D5392" s="559"/>
      <c r="E5392" s="559"/>
      <c r="F5392" s="559"/>
      <c r="G5392" s="558"/>
      <c r="H5392" s="559"/>
      <c r="I5392" s="559"/>
      <c r="J5392" s="559"/>
      <c r="K5392" s="560"/>
      <c r="L5392" s="560"/>
      <c r="M5392" s="560"/>
    </row>
    <row r="5393" spans="3:13" s="338" customFormat="1">
      <c r="C5393" s="558"/>
      <c r="D5393" s="559"/>
      <c r="E5393" s="559"/>
      <c r="F5393" s="559"/>
      <c r="G5393" s="558"/>
      <c r="H5393" s="559"/>
      <c r="I5393" s="559"/>
      <c r="J5393" s="559"/>
      <c r="K5393" s="560"/>
      <c r="L5393" s="560"/>
      <c r="M5393" s="560"/>
    </row>
    <row r="5394" spans="3:13" s="338" customFormat="1">
      <c r="C5394" s="558"/>
      <c r="D5394" s="559"/>
      <c r="E5394" s="559"/>
      <c r="F5394" s="559"/>
      <c r="G5394" s="558"/>
      <c r="H5394" s="559"/>
      <c r="I5394" s="559"/>
      <c r="J5394" s="559"/>
      <c r="K5394" s="560"/>
      <c r="L5394" s="560"/>
      <c r="M5394" s="560"/>
    </row>
    <row r="5395" spans="3:13" s="338" customFormat="1">
      <c r="C5395" s="558"/>
      <c r="D5395" s="559"/>
      <c r="E5395" s="559"/>
      <c r="F5395" s="559"/>
      <c r="G5395" s="558"/>
      <c r="H5395" s="559"/>
      <c r="I5395" s="559"/>
      <c r="J5395" s="559"/>
      <c r="K5395" s="560"/>
      <c r="L5395" s="560"/>
      <c r="M5395" s="560"/>
    </row>
    <row r="5396" spans="3:13" s="338" customFormat="1">
      <c r="C5396" s="558"/>
      <c r="D5396" s="559"/>
      <c r="E5396" s="559"/>
      <c r="F5396" s="559"/>
      <c r="G5396" s="558"/>
      <c r="H5396" s="559"/>
      <c r="I5396" s="559"/>
      <c r="J5396" s="559"/>
      <c r="K5396" s="560"/>
      <c r="L5396" s="560"/>
      <c r="M5396" s="560"/>
    </row>
    <row r="5397" spans="3:13" s="338" customFormat="1">
      <c r="C5397" s="558"/>
      <c r="D5397" s="559"/>
      <c r="E5397" s="559"/>
      <c r="F5397" s="559"/>
      <c r="G5397" s="558"/>
      <c r="H5397" s="559"/>
      <c r="I5397" s="559"/>
      <c r="J5397" s="559"/>
      <c r="K5397" s="560"/>
      <c r="L5397" s="560"/>
      <c r="M5397" s="560"/>
    </row>
    <row r="5398" spans="3:13" s="338" customFormat="1">
      <c r="C5398" s="558"/>
      <c r="D5398" s="559"/>
      <c r="E5398" s="559"/>
      <c r="F5398" s="559"/>
      <c r="G5398" s="558"/>
      <c r="H5398" s="559"/>
      <c r="I5398" s="559"/>
      <c r="J5398" s="559"/>
      <c r="K5398" s="560"/>
      <c r="L5398" s="560"/>
      <c r="M5398" s="560"/>
    </row>
    <row r="5399" spans="3:13" s="338" customFormat="1">
      <c r="C5399" s="558"/>
      <c r="D5399" s="559"/>
      <c r="E5399" s="559"/>
      <c r="F5399" s="559"/>
      <c r="G5399" s="558"/>
      <c r="H5399" s="559"/>
      <c r="I5399" s="559"/>
      <c r="J5399" s="559"/>
      <c r="K5399" s="560"/>
      <c r="L5399" s="560"/>
      <c r="M5399" s="560"/>
    </row>
    <row r="5400" spans="3:13" s="338" customFormat="1">
      <c r="C5400" s="558"/>
      <c r="D5400" s="559"/>
      <c r="E5400" s="559"/>
      <c r="F5400" s="559"/>
      <c r="G5400" s="558"/>
      <c r="H5400" s="559"/>
      <c r="I5400" s="559"/>
      <c r="J5400" s="559"/>
      <c r="K5400" s="560"/>
      <c r="L5400" s="560"/>
      <c r="M5400" s="560"/>
    </row>
    <row r="5401" spans="3:13" s="338" customFormat="1">
      <c r="C5401" s="558"/>
      <c r="D5401" s="559"/>
      <c r="E5401" s="559"/>
      <c r="F5401" s="559"/>
      <c r="G5401" s="558"/>
      <c r="H5401" s="559"/>
      <c r="I5401" s="559"/>
      <c r="J5401" s="559"/>
      <c r="K5401" s="560"/>
      <c r="L5401" s="560"/>
      <c r="M5401" s="560"/>
    </row>
    <row r="5402" spans="3:13" s="338" customFormat="1">
      <c r="C5402" s="558"/>
      <c r="D5402" s="559"/>
      <c r="E5402" s="559"/>
      <c r="F5402" s="559"/>
      <c r="G5402" s="558"/>
      <c r="H5402" s="559"/>
      <c r="I5402" s="559"/>
      <c r="J5402" s="559"/>
      <c r="K5402" s="560"/>
      <c r="L5402" s="560"/>
      <c r="M5402" s="560"/>
    </row>
    <row r="5403" spans="3:13" s="338" customFormat="1">
      <c r="C5403" s="558"/>
      <c r="D5403" s="559"/>
      <c r="E5403" s="559"/>
      <c r="F5403" s="559"/>
      <c r="G5403" s="558"/>
      <c r="H5403" s="559"/>
      <c r="I5403" s="559"/>
      <c r="J5403" s="559"/>
      <c r="K5403" s="560"/>
      <c r="L5403" s="560"/>
      <c r="M5403" s="560"/>
    </row>
    <row r="5404" spans="3:13" s="338" customFormat="1">
      <c r="C5404" s="558"/>
      <c r="D5404" s="559"/>
      <c r="E5404" s="559"/>
      <c r="F5404" s="559"/>
      <c r="G5404" s="558"/>
      <c r="H5404" s="559"/>
      <c r="I5404" s="559"/>
      <c r="J5404" s="559"/>
      <c r="K5404" s="560"/>
      <c r="L5404" s="560"/>
      <c r="M5404" s="560"/>
    </row>
    <row r="5405" spans="3:13" s="338" customFormat="1">
      <c r="C5405" s="558"/>
      <c r="D5405" s="559"/>
      <c r="E5405" s="559"/>
      <c r="F5405" s="559"/>
      <c r="G5405" s="558"/>
      <c r="H5405" s="559"/>
      <c r="I5405" s="559"/>
      <c r="J5405" s="559"/>
      <c r="K5405" s="560"/>
      <c r="L5405" s="560"/>
      <c r="M5405" s="560"/>
    </row>
    <row r="5406" spans="3:13" s="338" customFormat="1">
      <c r="C5406" s="558"/>
      <c r="D5406" s="559"/>
      <c r="E5406" s="559"/>
      <c r="F5406" s="559"/>
      <c r="G5406" s="558"/>
      <c r="H5406" s="559"/>
      <c r="I5406" s="559"/>
      <c r="J5406" s="559"/>
      <c r="K5406" s="560"/>
      <c r="L5406" s="560"/>
      <c r="M5406" s="560"/>
    </row>
    <row r="5407" spans="3:13" s="338" customFormat="1">
      <c r="C5407" s="558"/>
      <c r="D5407" s="559"/>
      <c r="E5407" s="559"/>
      <c r="F5407" s="559"/>
      <c r="G5407" s="558"/>
      <c r="H5407" s="559"/>
      <c r="I5407" s="559"/>
      <c r="J5407" s="559"/>
      <c r="K5407" s="560"/>
      <c r="L5407" s="560"/>
      <c r="M5407" s="560"/>
    </row>
    <row r="5408" spans="3:13" s="338" customFormat="1">
      <c r="C5408" s="558"/>
      <c r="D5408" s="559"/>
      <c r="E5408" s="559"/>
      <c r="F5408" s="559"/>
      <c r="G5408" s="558"/>
      <c r="H5408" s="559"/>
      <c r="I5408" s="559"/>
      <c r="J5408" s="559"/>
      <c r="K5408" s="560"/>
      <c r="L5408" s="560"/>
      <c r="M5408" s="560"/>
    </row>
    <row r="5409" spans="3:13" s="338" customFormat="1">
      <c r="C5409" s="558"/>
      <c r="D5409" s="559"/>
      <c r="E5409" s="559"/>
      <c r="F5409" s="559"/>
      <c r="G5409" s="558"/>
      <c r="H5409" s="559"/>
      <c r="I5409" s="559"/>
      <c r="J5409" s="559"/>
      <c r="K5409" s="560"/>
      <c r="L5409" s="560"/>
      <c r="M5409" s="560"/>
    </row>
    <row r="5410" spans="3:13" s="338" customFormat="1">
      <c r="C5410" s="558"/>
      <c r="D5410" s="559"/>
      <c r="E5410" s="559"/>
      <c r="F5410" s="559"/>
      <c r="G5410" s="558"/>
      <c r="H5410" s="559"/>
      <c r="I5410" s="559"/>
      <c r="J5410" s="559"/>
      <c r="K5410" s="560"/>
      <c r="L5410" s="560"/>
      <c r="M5410" s="560"/>
    </row>
    <row r="5411" spans="3:13" s="338" customFormat="1">
      <c r="C5411" s="558"/>
      <c r="D5411" s="559"/>
      <c r="E5411" s="559"/>
      <c r="F5411" s="559"/>
      <c r="G5411" s="558"/>
      <c r="H5411" s="559"/>
      <c r="I5411" s="559"/>
      <c r="J5411" s="559"/>
      <c r="K5411" s="560"/>
      <c r="L5411" s="560"/>
      <c r="M5411" s="560"/>
    </row>
    <row r="5412" spans="3:13" s="338" customFormat="1">
      <c r="C5412" s="558"/>
      <c r="D5412" s="559"/>
      <c r="E5412" s="559"/>
      <c r="F5412" s="559"/>
      <c r="G5412" s="558"/>
      <c r="H5412" s="559"/>
      <c r="I5412" s="559"/>
      <c r="J5412" s="559"/>
      <c r="K5412" s="560"/>
      <c r="L5412" s="560"/>
      <c r="M5412" s="560"/>
    </row>
    <row r="5413" spans="3:13" s="338" customFormat="1">
      <c r="C5413" s="558"/>
      <c r="D5413" s="559"/>
      <c r="E5413" s="559"/>
      <c r="F5413" s="559"/>
      <c r="G5413" s="558"/>
      <c r="H5413" s="559"/>
      <c r="I5413" s="559"/>
      <c r="J5413" s="559"/>
      <c r="K5413" s="560"/>
      <c r="L5413" s="560"/>
      <c r="M5413" s="560"/>
    </row>
    <row r="5414" spans="3:13" s="338" customFormat="1">
      <c r="C5414" s="558"/>
      <c r="D5414" s="559"/>
      <c r="E5414" s="559"/>
      <c r="F5414" s="559"/>
      <c r="G5414" s="558"/>
      <c r="H5414" s="559"/>
      <c r="I5414" s="559"/>
      <c r="J5414" s="559"/>
      <c r="K5414" s="560"/>
      <c r="L5414" s="560"/>
      <c r="M5414" s="560"/>
    </row>
    <row r="5415" spans="3:13" s="338" customFormat="1">
      <c r="C5415" s="558"/>
      <c r="D5415" s="559"/>
      <c r="E5415" s="559"/>
      <c r="F5415" s="559"/>
      <c r="G5415" s="558"/>
      <c r="H5415" s="559"/>
      <c r="I5415" s="559"/>
      <c r="J5415" s="559"/>
      <c r="K5415" s="560"/>
      <c r="L5415" s="560"/>
      <c r="M5415" s="560"/>
    </row>
    <row r="5416" spans="3:13" s="338" customFormat="1">
      <c r="C5416" s="558"/>
      <c r="D5416" s="559"/>
      <c r="E5416" s="559"/>
      <c r="F5416" s="559"/>
      <c r="G5416" s="558"/>
      <c r="H5416" s="559"/>
      <c r="I5416" s="559"/>
      <c r="J5416" s="559"/>
      <c r="K5416" s="560"/>
      <c r="L5416" s="560"/>
      <c r="M5416" s="560"/>
    </row>
    <row r="5417" spans="3:13" s="338" customFormat="1">
      <c r="C5417" s="558"/>
      <c r="D5417" s="559"/>
      <c r="E5417" s="559"/>
      <c r="F5417" s="559"/>
      <c r="G5417" s="558"/>
      <c r="H5417" s="559"/>
      <c r="I5417" s="559"/>
      <c r="J5417" s="559"/>
      <c r="K5417" s="560"/>
      <c r="L5417" s="560"/>
      <c r="M5417" s="560"/>
    </row>
    <row r="5418" spans="3:13" s="338" customFormat="1">
      <c r="C5418" s="558"/>
      <c r="D5418" s="559"/>
      <c r="E5418" s="559"/>
      <c r="F5418" s="559"/>
      <c r="G5418" s="558"/>
      <c r="H5418" s="559"/>
      <c r="I5418" s="559"/>
      <c r="J5418" s="559"/>
      <c r="K5418" s="560"/>
      <c r="L5418" s="560"/>
      <c r="M5418" s="560"/>
    </row>
    <row r="5419" spans="3:13" s="338" customFormat="1">
      <c r="C5419" s="558"/>
      <c r="D5419" s="559"/>
      <c r="E5419" s="559"/>
      <c r="F5419" s="559"/>
      <c r="G5419" s="558"/>
      <c r="H5419" s="559"/>
      <c r="I5419" s="559"/>
      <c r="J5419" s="559"/>
      <c r="K5419" s="560"/>
      <c r="L5419" s="560"/>
      <c r="M5419" s="560"/>
    </row>
    <row r="5420" spans="3:13" s="338" customFormat="1">
      <c r="C5420" s="558"/>
      <c r="D5420" s="559"/>
      <c r="E5420" s="559"/>
      <c r="F5420" s="559"/>
      <c r="G5420" s="558"/>
      <c r="H5420" s="559"/>
      <c r="I5420" s="559"/>
      <c r="J5420" s="559"/>
      <c r="K5420" s="560"/>
      <c r="L5420" s="560"/>
      <c r="M5420" s="560"/>
    </row>
    <row r="5421" spans="3:13" s="338" customFormat="1">
      <c r="C5421" s="558"/>
      <c r="D5421" s="559"/>
      <c r="E5421" s="559"/>
      <c r="F5421" s="559"/>
      <c r="G5421" s="558"/>
      <c r="H5421" s="559"/>
      <c r="I5421" s="559"/>
      <c r="J5421" s="559"/>
      <c r="K5421" s="560"/>
      <c r="L5421" s="560"/>
      <c r="M5421" s="560"/>
    </row>
    <row r="5422" spans="3:13" s="338" customFormat="1">
      <c r="C5422" s="558"/>
      <c r="D5422" s="559"/>
      <c r="E5422" s="559"/>
      <c r="F5422" s="559"/>
      <c r="G5422" s="558"/>
      <c r="H5422" s="559"/>
      <c r="I5422" s="559"/>
      <c r="J5422" s="559"/>
      <c r="K5422" s="560"/>
      <c r="L5422" s="560"/>
      <c r="M5422" s="560"/>
    </row>
    <row r="5423" spans="3:13" s="338" customFormat="1">
      <c r="C5423" s="558"/>
      <c r="D5423" s="559"/>
      <c r="E5423" s="559"/>
      <c r="F5423" s="559"/>
      <c r="G5423" s="558"/>
      <c r="H5423" s="559"/>
      <c r="I5423" s="559"/>
      <c r="J5423" s="559"/>
      <c r="K5423" s="560"/>
      <c r="L5423" s="560"/>
      <c r="M5423" s="560"/>
    </row>
    <row r="5424" spans="3:13" s="338" customFormat="1">
      <c r="C5424" s="558"/>
      <c r="D5424" s="559"/>
      <c r="E5424" s="559"/>
      <c r="F5424" s="559"/>
      <c r="G5424" s="558"/>
      <c r="H5424" s="559"/>
      <c r="I5424" s="559"/>
      <c r="J5424" s="559"/>
      <c r="K5424" s="560"/>
      <c r="L5424" s="560"/>
      <c r="M5424" s="560"/>
    </row>
    <row r="5425" spans="3:13" s="338" customFormat="1">
      <c r="C5425" s="558"/>
      <c r="D5425" s="559"/>
      <c r="E5425" s="559"/>
      <c r="F5425" s="559"/>
      <c r="G5425" s="558"/>
      <c r="H5425" s="559"/>
      <c r="I5425" s="559"/>
      <c r="J5425" s="559"/>
      <c r="K5425" s="560"/>
      <c r="L5425" s="560"/>
      <c r="M5425" s="560"/>
    </row>
    <row r="5426" spans="3:13" s="338" customFormat="1">
      <c r="C5426" s="558"/>
      <c r="D5426" s="559"/>
      <c r="E5426" s="559"/>
      <c r="F5426" s="559"/>
      <c r="G5426" s="558"/>
      <c r="H5426" s="559"/>
      <c r="I5426" s="559"/>
      <c r="J5426" s="559"/>
      <c r="K5426" s="560"/>
      <c r="L5426" s="560"/>
      <c r="M5426" s="560"/>
    </row>
    <row r="5427" spans="3:13" s="338" customFormat="1">
      <c r="C5427" s="558"/>
      <c r="D5427" s="559"/>
      <c r="E5427" s="559"/>
      <c r="F5427" s="559"/>
      <c r="G5427" s="558"/>
      <c r="H5427" s="559"/>
      <c r="I5427" s="559"/>
      <c r="J5427" s="559"/>
      <c r="K5427" s="560"/>
      <c r="L5427" s="560"/>
      <c r="M5427" s="560"/>
    </row>
    <row r="5428" spans="3:13" s="338" customFormat="1">
      <c r="C5428" s="558"/>
      <c r="D5428" s="559"/>
      <c r="E5428" s="559"/>
      <c r="F5428" s="559"/>
      <c r="G5428" s="558"/>
      <c r="H5428" s="559"/>
      <c r="I5428" s="559"/>
      <c r="J5428" s="559"/>
      <c r="K5428" s="560"/>
      <c r="L5428" s="560"/>
      <c r="M5428" s="560"/>
    </row>
  </sheetData>
  <mergeCells count="11">
    <mergeCell ref="A21:B21"/>
    <mergeCell ref="A1:B1"/>
    <mergeCell ref="A2:B2"/>
    <mergeCell ref="A6:B6"/>
    <mergeCell ref="A10:B10"/>
    <mergeCell ref="A16:B16"/>
    <mergeCell ref="A30:B30"/>
    <mergeCell ref="A35:B35"/>
    <mergeCell ref="A36:B36"/>
    <mergeCell ref="A37:B37"/>
    <mergeCell ref="A38:B38"/>
  </mergeCells>
  <pageMargins left="0.19685039370078741" right="0.19685039370078741" top="0.27559055118110237" bottom="0.35433070866141736" header="0.19685039370078741"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48"/>
  <sheetViews>
    <sheetView view="pageBreakPreview" zoomScaleNormal="100" zoomScaleSheetLayoutView="100" zoomScalePageLayoutView="50" workbookViewId="0">
      <selection activeCell="A32" sqref="A32"/>
    </sheetView>
  </sheetViews>
  <sheetFormatPr defaultColWidth="9.140625" defaultRowHeight="11.25"/>
  <cols>
    <col min="1" max="1" width="67.42578125" style="3" customWidth="1"/>
    <col min="2" max="3" width="9" style="3" customWidth="1"/>
    <col min="4" max="4" width="9" style="48" customWidth="1"/>
    <col min="5" max="5" width="6.5703125" style="3" customWidth="1"/>
    <col min="6" max="6" width="6.7109375" style="3" customWidth="1"/>
    <col min="7" max="7" width="6.5703125" style="3" customWidth="1"/>
    <col min="8" max="8" width="7.28515625" style="3" customWidth="1"/>
    <col min="9" max="9" width="6.140625" style="3" customWidth="1"/>
    <col min="10" max="10" width="6.28515625" style="3" customWidth="1"/>
    <col min="11" max="16" width="5.42578125" style="3" customWidth="1"/>
    <col min="17" max="17" width="8.5703125" style="3" customWidth="1"/>
    <col min="18" max="18" width="9.140625" style="3" hidden="1" customWidth="1"/>
    <col min="19" max="82" width="9.140625" style="18"/>
    <col min="83" max="16384" width="9.140625" style="3"/>
  </cols>
  <sheetData>
    <row r="1" spans="1:113" ht="12">
      <c r="A1" s="21" t="s">
        <v>18</v>
      </c>
      <c r="B1" s="2"/>
      <c r="C1" s="2"/>
    </row>
    <row r="2" spans="1:113" ht="24.75" customHeight="1">
      <c r="A2" s="21" t="s">
        <v>19</v>
      </c>
      <c r="B2" s="2"/>
      <c r="C2" s="2"/>
    </row>
    <row r="3" spans="1:113" ht="24" customHeight="1">
      <c r="A3" s="1169" t="s">
        <v>361</v>
      </c>
      <c r="B3" s="1169"/>
      <c r="C3" s="1169"/>
      <c r="D3" s="1169"/>
      <c r="E3" s="1169"/>
      <c r="F3" s="1169"/>
      <c r="G3" s="1169"/>
      <c r="H3" s="1169"/>
      <c r="I3" s="1169"/>
      <c r="J3" s="1169"/>
      <c r="K3" s="1169"/>
      <c r="L3" s="1169"/>
      <c r="M3" s="1169"/>
      <c r="N3" s="1169"/>
      <c r="O3" s="1169"/>
      <c r="P3" s="1169"/>
      <c r="Q3" s="1169"/>
      <c r="R3" s="1169"/>
    </row>
    <row r="4" spans="1:113" ht="25.5" customHeight="1">
      <c r="A4" s="1173"/>
      <c r="B4" s="49" t="s">
        <v>198</v>
      </c>
      <c r="C4" s="49" t="s">
        <v>205</v>
      </c>
      <c r="D4" s="49" t="s">
        <v>212</v>
      </c>
      <c r="E4" s="1170" t="s">
        <v>216</v>
      </c>
      <c r="F4" s="1171"/>
      <c r="G4" s="1171"/>
      <c r="H4" s="1171"/>
      <c r="I4" s="1171"/>
      <c r="J4" s="1171"/>
      <c r="K4" s="1171"/>
      <c r="L4" s="1171"/>
      <c r="M4" s="1171"/>
      <c r="N4" s="1171"/>
      <c r="O4" s="1171"/>
      <c r="P4" s="1171"/>
      <c r="Q4" s="1172"/>
      <c r="R4" s="4"/>
    </row>
    <row r="5" spans="1:113" ht="16.899999999999999" customHeight="1">
      <c r="A5" s="1174"/>
      <c r="B5" s="5"/>
      <c r="C5" s="5"/>
      <c r="D5" s="220"/>
      <c r="E5" s="1" t="s">
        <v>26</v>
      </c>
      <c r="F5" s="1" t="s">
        <v>27</v>
      </c>
      <c r="G5" s="1" t="s">
        <v>28</v>
      </c>
      <c r="H5" s="1" t="s">
        <v>29</v>
      </c>
      <c r="I5" s="1" t="s">
        <v>30</v>
      </c>
      <c r="J5" s="1" t="s">
        <v>31</v>
      </c>
      <c r="K5" s="1" t="s">
        <v>32</v>
      </c>
      <c r="L5" s="1" t="s">
        <v>33</v>
      </c>
      <c r="M5" s="1" t="s">
        <v>34</v>
      </c>
      <c r="N5" s="1" t="s">
        <v>35</v>
      </c>
      <c r="O5" s="1" t="s">
        <v>36</v>
      </c>
      <c r="P5" s="1" t="s">
        <v>37</v>
      </c>
      <c r="Q5" s="1" t="s">
        <v>38</v>
      </c>
      <c r="R5" s="4"/>
    </row>
    <row r="6" spans="1:113" ht="23.25" customHeight="1">
      <c r="A6" s="6" t="s">
        <v>292</v>
      </c>
      <c r="B6" s="6"/>
      <c r="C6" s="6"/>
      <c r="D6" s="50"/>
      <c r="E6" s="221"/>
      <c r="F6" s="221"/>
      <c r="G6" s="221"/>
      <c r="H6" s="221"/>
      <c r="I6" s="221"/>
      <c r="J6" s="221"/>
      <c r="K6" s="221"/>
      <c r="L6" s="221"/>
      <c r="M6" s="221"/>
      <c r="N6" s="221"/>
      <c r="O6" s="221"/>
      <c r="P6" s="221"/>
      <c r="Q6" s="221"/>
      <c r="R6" s="4"/>
    </row>
    <row r="7" spans="1:113" s="9" customFormat="1" ht="54" customHeight="1">
      <c r="A7" s="7" t="s">
        <v>293</v>
      </c>
      <c r="B7" s="7"/>
      <c r="C7" s="7"/>
      <c r="D7" s="68"/>
      <c r="E7" s="64"/>
      <c r="F7" s="64"/>
      <c r="G7" s="64"/>
      <c r="H7" s="64"/>
      <c r="I7" s="64"/>
      <c r="J7" s="64"/>
      <c r="K7" s="8"/>
      <c r="L7" s="64"/>
      <c r="M7" s="64"/>
      <c r="N7" s="64"/>
      <c r="O7" s="64"/>
      <c r="P7" s="64"/>
      <c r="Q7" s="64"/>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row>
    <row r="8" spans="1:113" s="71" customFormat="1" ht="23.25" customHeight="1">
      <c r="A8" s="6" t="s">
        <v>294</v>
      </c>
      <c r="B8" s="6"/>
      <c r="C8" s="6"/>
      <c r="D8" s="50"/>
      <c r="E8" s="221"/>
      <c r="F8" s="221"/>
      <c r="G8" s="221"/>
      <c r="H8" s="221"/>
      <c r="I8" s="221"/>
      <c r="J8" s="221"/>
      <c r="K8" s="221"/>
      <c r="L8" s="221"/>
      <c r="M8" s="221"/>
      <c r="N8" s="221"/>
      <c r="O8" s="221"/>
      <c r="P8" s="221"/>
      <c r="Q8" s="221"/>
      <c r="R8" s="219"/>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row>
    <row r="9" spans="1:113" s="71" customFormat="1" ht="18.75" customHeight="1">
      <c r="A9" s="10" t="s">
        <v>295</v>
      </c>
      <c r="B9" s="10"/>
      <c r="C9" s="127">
        <v>2</v>
      </c>
      <c r="D9" s="269">
        <v>2</v>
      </c>
      <c r="E9" s="270">
        <v>2</v>
      </c>
      <c r="F9" s="270">
        <v>1</v>
      </c>
      <c r="G9" s="270">
        <v>1</v>
      </c>
      <c r="H9" s="64">
        <v>1</v>
      </c>
      <c r="I9" s="64">
        <v>1</v>
      </c>
      <c r="J9" s="64">
        <v>1</v>
      </c>
      <c r="K9" s="8"/>
      <c r="L9" s="64"/>
      <c r="M9" s="64"/>
      <c r="N9" s="64"/>
      <c r="O9" s="64"/>
      <c r="P9" s="64"/>
      <c r="Q9" s="64"/>
      <c r="R9" s="219"/>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row>
    <row r="10" spans="1:113" s="71" customFormat="1" ht="18.75" customHeight="1">
      <c r="A10" s="10" t="s">
        <v>296</v>
      </c>
      <c r="B10" s="10"/>
      <c r="C10" s="127">
        <v>10</v>
      </c>
      <c r="D10" s="269">
        <v>9</v>
      </c>
      <c r="E10" s="270">
        <v>9</v>
      </c>
      <c r="F10" s="270">
        <v>9</v>
      </c>
      <c r="G10" s="270">
        <v>9</v>
      </c>
      <c r="H10" s="64">
        <v>9</v>
      </c>
      <c r="I10" s="64">
        <v>9</v>
      </c>
      <c r="J10" s="64">
        <v>9</v>
      </c>
      <c r="K10" s="64"/>
      <c r="L10" s="64"/>
      <c r="M10" s="64"/>
      <c r="N10" s="64"/>
      <c r="O10" s="64"/>
      <c r="P10" s="64"/>
      <c r="Q10" s="64"/>
      <c r="R10" s="219"/>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row>
    <row r="11" spans="1:113" s="71" customFormat="1" ht="18.75" customHeight="1">
      <c r="A11" s="11" t="s">
        <v>297</v>
      </c>
      <c r="B11" s="11"/>
      <c r="C11" s="127">
        <v>122</v>
      </c>
      <c r="D11" s="269">
        <v>113</v>
      </c>
      <c r="E11" s="270">
        <v>115</v>
      </c>
      <c r="F11" s="270">
        <v>116</v>
      </c>
      <c r="G11" s="270">
        <v>115</v>
      </c>
      <c r="H11" s="64">
        <v>115</v>
      </c>
      <c r="I11" s="64">
        <v>114</v>
      </c>
      <c r="J11" s="64">
        <v>114</v>
      </c>
      <c r="K11" s="8"/>
      <c r="L11" s="64"/>
      <c r="M11" s="64"/>
      <c r="N11" s="64"/>
      <c r="O11" s="64"/>
      <c r="P11" s="64"/>
      <c r="Q11" s="64"/>
      <c r="R11" s="219"/>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row>
    <row r="12" spans="1:113" s="71" customFormat="1" ht="18.75" customHeight="1">
      <c r="A12" s="11" t="s">
        <v>298</v>
      </c>
      <c r="B12" s="11"/>
      <c r="C12" s="127">
        <f>SUM(C9:C11)</f>
        <v>134</v>
      </c>
      <c r="D12" s="127">
        <f t="shared" ref="D12:J12" si="0">SUM(D9:D11)</f>
        <v>124</v>
      </c>
      <c r="E12" s="127">
        <f t="shared" si="0"/>
        <v>126</v>
      </c>
      <c r="F12" s="127">
        <f t="shared" si="0"/>
        <v>126</v>
      </c>
      <c r="G12" s="127">
        <f t="shared" si="0"/>
        <v>125</v>
      </c>
      <c r="H12" s="127">
        <f t="shared" si="0"/>
        <v>125</v>
      </c>
      <c r="I12" s="127">
        <f t="shared" si="0"/>
        <v>124</v>
      </c>
      <c r="J12" s="127">
        <f t="shared" si="0"/>
        <v>124</v>
      </c>
      <c r="K12" s="63"/>
      <c r="L12" s="63"/>
      <c r="M12" s="63"/>
      <c r="N12" s="63"/>
      <c r="O12" s="63"/>
      <c r="P12" s="63"/>
      <c r="Q12" s="64"/>
      <c r="R12" s="219"/>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row>
    <row r="13" spans="1:113" s="71" customFormat="1" ht="18.75" customHeight="1">
      <c r="A13" s="11" t="s">
        <v>299</v>
      </c>
      <c r="B13" s="11"/>
      <c r="C13" s="127">
        <v>52</v>
      </c>
      <c r="D13" s="269">
        <v>52</v>
      </c>
      <c r="E13" s="270">
        <v>52</v>
      </c>
      <c r="F13" s="270">
        <v>50</v>
      </c>
      <c r="G13" s="270">
        <v>50</v>
      </c>
      <c r="H13" s="64">
        <v>49</v>
      </c>
      <c r="I13" s="64">
        <v>49</v>
      </c>
      <c r="J13" s="64">
        <v>50</v>
      </c>
      <c r="K13" s="8"/>
      <c r="L13" s="64"/>
      <c r="M13" s="64"/>
      <c r="N13" s="64"/>
      <c r="O13" s="64"/>
      <c r="P13" s="64"/>
      <c r="Q13" s="64"/>
      <c r="R13" s="219"/>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row>
    <row r="14" spans="1:113" s="638" customFormat="1" ht="18.75" customHeight="1">
      <c r="A14" s="272" t="s">
        <v>74</v>
      </c>
      <c r="B14" s="272"/>
      <c r="C14" s="12"/>
      <c r="D14" s="633"/>
      <c r="E14" s="12">
        <f>E12+E13</f>
        <v>178</v>
      </c>
      <c r="F14" s="12">
        <f t="shared" ref="F14:J14" si="1">F12+F13</f>
        <v>176</v>
      </c>
      <c r="G14" s="12">
        <f t="shared" si="1"/>
        <v>175</v>
      </c>
      <c r="H14" s="12">
        <f t="shared" si="1"/>
        <v>174</v>
      </c>
      <c r="I14" s="12">
        <f t="shared" si="1"/>
        <v>173</v>
      </c>
      <c r="J14" s="12">
        <f t="shared" si="1"/>
        <v>174</v>
      </c>
      <c r="K14" s="634"/>
      <c r="L14" s="12"/>
      <c r="M14" s="12"/>
      <c r="N14" s="12"/>
      <c r="O14" s="12"/>
      <c r="P14" s="12"/>
      <c r="Q14" s="12"/>
      <c r="R14" s="635"/>
      <c r="S14" s="636"/>
      <c r="T14" s="636"/>
      <c r="U14" s="636"/>
      <c r="V14" s="636"/>
      <c r="W14" s="636"/>
      <c r="X14" s="636"/>
      <c r="Y14" s="636"/>
      <c r="Z14" s="636"/>
      <c r="AA14" s="636"/>
      <c r="AB14" s="636"/>
      <c r="AC14" s="636"/>
      <c r="AD14" s="636"/>
      <c r="AE14" s="636"/>
      <c r="AF14" s="636"/>
      <c r="AG14" s="636"/>
      <c r="AH14" s="636"/>
      <c r="AI14" s="636"/>
      <c r="AJ14" s="636"/>
      <c r="AK14" s="636"/>
      <c r="AL14" s="636"/>
      <c r="AM14" s="636"/>
      <c r="AN14" s="636"/>
      <c r="AO14" s="636"/>
      <c r="AP14" s="636"/>
      <c r="AQ14" s="636"/>
      <c r="AR14" s="636"/>
      <c r="AS14" s="636"/>
      <c r="AT14" s="636"/>
      <c r="AU14" s="636"/>
      <c r="AV14" s="636"/>
      <c r="AW14" s="636"/>
      <c r="AX14" s="636"/>
      <c r="AY14" s="636"/>
      <c r="AZ14" s="636"/>
      <c r="BA14" s="636"/>
      <c r="BB14" s="636"/>
      <c r="BC14" s="636"/>
      <c r="BD14" s="636"/>
      <c r="BE14" s="636"/>
      <c r="BF14" s="636"/>
      <c r="BG14" s="636"/>
      <c r="BH14" s="636"/>
      <c r="BI14" s="636"/>
      <c r="BJ14" s="636"/>
      <c r="BK14" s="636"/>
      <c r="BL14" s="636"/>
      <c r="BM14" s="636"/>
      <c r="BN14" s="636"/>
      <c r="BO14" s="636"/>
      <c r="BP14" s="636"/>
      <c r="BQ14" s="636"/>
      <c r="BR14" s="636"/>
      <c r="BS14" s="636"/>
      <c r="BT14" s="636"/>
      <c r="BU14" s="636"/>
      <c r="BV14" s="636"/>
      <c r="BW14" s="636"/>
      <c r="BX14" s="636"/>
      <c r="BY14" s="636"/>
      <c r="BZ14" s="636"/>
      <c r="CA14" s="636"/>
      <c r="CB14" s="636"/>
      <c r="CC14" s="636"/>
      <c r="CD14" s="636"/>
      <c r="CE14" s="637"/>
      <c r="CF14" s="637"/>
      <c r="CG14" s="637"/>
      <c r="CH14" s="637"/>
      <c r="CI14" s="637"/>
      <c r="CJ14" s="637"/>
      <c r="CK14" s="637"/>
      <c r="CL14" s="637"/>
      <c r="CM14" s="637"/>
      <c r="CN14" s="637"/>
      <c r="CO14" s="637"/>
      <c r="CP14" s="637"/>
      <c r="CQ14" s="637"/>
      <c r="CR14" s="637"/>
      <c r="CS14" s="637"/>
      <c r="CT14" s="637"/>
      <c r="CU14" s="637"/>
      <c r="CV14" s="637"/>
      <c r="CW14" s="637"/>
      <c r="CX14" s="637"/>
      <c r="CY14" s="637"/>
      <c r="CZ14" s="637"/>
      <c r="DA14" s="637"/>
      <c r="DB14" s="637"/>
      <c r="DC14" s="637"/>
      <c r="DD14" s="637"/>
      <c r="DE14" s="637"/>
      <c r="DF14" s="637"/>
      <c r="DG14" s="637"/>
      <c r="DH14" s="637"/>
      <c r="DI14" s="637"/>
    </row>
    <row r="15" spans="1:113" s="9" customFormat="1" ht="18" customHeight="1">
      <c r="A15" s="13" t="s">
        <v>300</v>
      </c>
      <c r="B15" s="13"/>
      <c r="C15" s="127"/>
      <c r="D15" s="271" t="s">
        <v>0</v>
      </c>
      <c r="E15" s="127" t="s">
        <v>0</v>
      </c>
      <c r="F15" s="127" t="s">
        <v>0</v>
      </c>
      <c r="G15" s="127" t="s">
        <v>0</v>
      </c>
      <c r="H15" s="127" t="s">
        <v>0</v>
      </c>
      <c r="I15" s="127" t="s">
        <v>0</v>
      </c>
      <c r="J15" s="127" t="s">
        <v>0</v>
      </c>
      <c r="K15" s="64"/>
      <c r="L15" s="64"/>
      <c r="M15" s="64"/>
      <c r="N15" s="64"/>
      <c r="O15" s="64"/>
      <c r="P15" s="64"/>
      <c r="Q15" s="64"/>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row>
    <row r="16" spans="1:113" s="9" customFormat="1" ht="18" customHeight="1">
      <c r="A16" s="70"/>
      <c r="B16" s="124"/>
      <c r="C16" s="124"/>
      <c r="D16" s="19"/>
      <c r="E16" s="64"/>
      <c r="F16" s="64"/>
      <c r="G16" s="64"/>
      <c r="H16" s="64"/>
      <c r="I16" s="64"/>
      <c r="J16" s="64"/>
      <c r="K16" s="64"/>
      <c r="L16" s="64"/>
      <c r="M16" s="64"/>
      <c r="N16" s="64"/>
      <c r="O16" s="64"/>
      <c r="P16" s="64"/>
      <c r="Q16" s="64"/>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row>
    <row r="17" spans="1:113" s="9" customFormat="1" ht="33" customHeight="1">
      <c r="A17" s="16" t="s">
        <v>301</v>
      </c>
      <c r="B17" s="125"/>
      <c r="C17" s="125"/>
      <c r="D17" s="51"/>
      <c r="E17" s="222"/>
      <c r="F17" s="222"/>
      <c r="G17" s="222"/>
      <c r="H17" s="222"/>
      <c r="I17" s="222"/>
      <c r="J17" s="222"/>
      <c r="K17" s="222"/>
      <c r="L17" s="222"/>
      <c r="M17" s="222"/>
      <c r="N17" s="222"/>
      <c r="O17" s="222"/>
      <c r="P17" s="222"/>
      <c r="Q17" s="222"/>
      <c r="R17" s="65"/>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row>
    <row r="18" spans="1:113" s="9" customFormat="1" ht="16.5" customHeight="1">
      <c r="A18" s="10" t="s">
        <v>295</v>
      </c>
      <c r="B18" s="11"/>
      <c r="C18" s="272"/>
      <c r="D18" s="273"/>
      <c r="E18" s="981">
        <v>2</v>
      </c>
      <c r="F18" s="981">
        <v>2</v>
      </c>
      <c r="G18" s="981">
        <v>2</v>
      </c>
      <c r="H18" s="981">
        <v>2</v>
      </c>
      <c r="I18" s="981">
        <v>2</v>
      </c>
      <c r="J18" s="981">
        <v>2</v>
      </c>
      <c r="K18" s="57"/>
      <c r="L18" s="64"/>
      <c r="M18" s="64"/>
      <c r="N18" s="58"/>
      <c r="O18" s="58"/>
      <c r="P18" s="64"/>
      <c r="Q18" s="64"/>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row>
    <row r="19" spans="1:113" s="9" customFormat="1" ht="16.5" customHeight="1">
      <c r="A19" s="10" t="s">
        <v>296</v>
      </c>
      <c r="B19" s="11"/>
      <c r="C19" s="272"/>
      <c r="D19" s="273"/>
      <c r="E19" s="982">
        <v>13</v>
      </c>
      <c r="F19" s="982">
        <v>13</v>
      </c>
      <c r="G19" s="982">
        <v>13</v>
      </c>
      <c r="H19" s="983">
        <v>13</v>
      </c>
      <c r="I19" s="983">
        <v>13</v>
      </c>
      <c r="J19" s="982">
        <v>13</v>
      </c>
      <c r="K19" s="57"/>
      <c r="L19" s="64"/>
      <c r="M19" s="64"/>
      <c r="N19" s="58"/>
      <c r="O19" s="58"/>
      <c r="P19" s="64"/>
      <c r="Q19" s="64"/>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row>
    <row r="20" spans="1:113" s="9" customFormat="1" ht="16.5" customHeight="1">
      <c r="A20" s="11" t="s">
        <v>297</v>
      </c>
      <c r="B20" s="11"/>
      <c r="C20" s="127"/>
      <c r="D20" s="274"/>
      <c r="E20" s="982">
        <v>184</v>
      </c>
      <c r="F20" s="982">
        <v>193</v>
      </c>
      <c r="G20" s="982">
        <v>196</v>
      </c>
      <c r="H20" s="982">
        <v>198</v>
      </c>
      <c r="I20" s="982">
        <v>198</v>
      </c>
      <c r="J20" s="982">
        <v>198</v>
      </c>
      <c r="K20" s="57"/>
      <c r="L20" s="64"/>
      <c r="M20" s="64"/>
      <c r="N20" s="58"/>
      <c r="O20" s="58"/>
      <c r="P20" s="64"/>
      <c r="Q20" s="64"/>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row>
    <row r="21" spans="1:113" s="9" customFormat="1" ht="16.5" customHeight="1">
      <c r="A21" s="11" t="s">
        <v>298</v>
      </c>
      <c r="B21" s="11"/>
      <c r="C21" s="127">
        <v>168</v>
      </c>
      <c r="D21" s="275">
        <v>172</v>
      </c>
      <c r="E21" s="834">
        <f>SUM(E19:E20)</f>
        <v>197</v>
      </c>
      <c r="F21" s="834">
        <f t="shared" ref="F21:J21" si="2">SUM(F19:F20)</f>
        <v>206</v>
      </c>
      <c r="G21" s="834">
        <f t="shared" si="2"/>
        <v>209</v>
      </c>
      <c r="H21" s="834">
        <f t="shared" si="2"/>
        <v>211</v>
      </c>
      <c r="I21" s="834">
        <f t="shared" si="2"/>
        <v>211</v>
      </c>
      <c r="J21" s="834">
        <f t="shared" si="2"/>
        <v>211</v>
      </c>
      <c r="K21" s="49"/>
      <c r="L21" s="49"/>
      <c r="M21" s="49"/>
      <c r="N21" s="49"/>
      <c r="O21" s="49"/>
      <c r="P21" s="49"/>
      <c r="Q21" s="64"/>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row>
    <row r="22" spans="1:113" s="71" customFormat="1" ht="18.75" customHeight="1">
      <c r="A22" s="11" t="s">
        <v>299</v>
      </c>
      <c r="B22" s="11"/>
      <c r="C22" s="127"/>
      <c r="D22" s="269"/>
      <c r="E22" s="984">
        <v>37</v>
      </c>
      <c r="F22" s="984">
        <v>37</v>
      </c>
      <c r="G22" s="984">
        <v>38</v>
      </c>
      <c r="H22" s="984">
        <v>38</v>
      </c>
      <c r="I22" s="984">
        <v>38</v>
      </c>
      <c r="J22" s="835">
        <v>39</v>
      </c>
      <c r="K22" s="8"/>
      <c r="L22" s="64"/>
      <c r="M22" s="64"/>
      <c r="N22" s="64"/>
      <c r="O22" s="64"/>
      <c r="P22" s="64"/>
      <c r="Q22" s="64"/>
      <c r="R22" s="219"/>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row>
    <row r="23" spans="1:113" s="638" customFormat="1" ht="18.75" customHeight="1">
      <c r="A23" s="272" t="s">
        <v>74</v>
      </c>
      <c r="B23" s="272"/>
      <c r="C23" s="12"/>
      <c r="D23" s="633"/>
      <c r="E23" s="837">
        <f>SUM(E21:E22)</f>
        <v>234</v>
      </c>
      <c r="F23" s="837">
        <f t="shared" ref="F23:J23" si="3">SUM(F21:F22)</f>
        <v>243</v>
      </c>
      <c r="G23" s="837">
        <f t="shared" si="3"/>
        <v>247</v>
      </c>
      <c r="H23" s="837">
        <f t="shared" si="3"/>
        <v>249</v>
      </c>
      <c r="I23" s="837">
        <f t="shared" si="3"/>
        <v>249</v>
      </c>
      <c r="J23" s="837">
        <f t="shared" si="3"/>
        <v>250</v>
      </c>
      <c r="K23" s="634"/>
      <c r="L23" s="12"/>
      <c r="M23" s="12"/>
      <c r="N23" s="12"/>
      <c r="O23" s="12"/>
      <c r="P23" s="12"/>
      <c r="Q23" s="12"/>
      <c r="R23" s="635"/>
      <c r="S23" s="636"/>
      <c r="T23" s="636"/>
      <c r="U23" s="636"/>
      <c r="V23" s="636"/>
      <c r="W23" s="636"/>
      <c r="X23" s="636"/>
      <c r="Y23" s="636"/>
      <c r="Z23" s="636"/>
      <c r="AA23" s="636"/>
      <c r="AB23" s="636"/>
      <c r="AC23" s="636"/>
      <c r="AD23" s="636"/>
      <c r="AE23" s="636"/>
      <c r="AF23" s="636"/>
      <c r="AG23" s="636"/>
      <c r="AH23" s="636"/>
      <c r="AI23" s="636"/>
      <c r="AJ23" s="636"/>
      <c r="AK23" s="636"/>
      <c r="AL23" s="636"/>
      <c r="AM23" s="636"/>
      <c r="AN23" s="636"/>
      <c r="AO23" s="636"/>
      <c r="AP23" s="636"/>
      <c r="AQ23" s="636"/>
      <c r="AR23" s="636"/>
      <c r="AS23" s="636"/>
      <c r="AT23" s="636"/>
      <c r="AU23" s="636"/>
      <c r="AV23" s="636"/>
      <c r="AW23" s="636"/>
      <c r="AX23" s="636"/>
      <c r="AY23" s="636"/>
      <c r="AZ23" s="636"/>
      <c r="BA23" s="636"/>
      <c r="BB23" s="636"/>
      <c r="BC23" s="636"/>
      <c r="BD23" s="636"/>
      <c r="BE23" s="636"/>
      <c r="BF23" s="636"/>
      <c r="BG23" s="636"/>
      <c r="BH23" s="636"/>
      <c r="BI23" s="636"/>
      <c r="BJ23" s="636"/>
      <c r="BK23" s="636"/>
      <c r="BL23" s="636"/>
      <c r="BM23" s="636"/>
      <c r="BN23" s="636"/>
      <c r="BO23" s="636"/>
      <c r="BP23" s="636"/>
      <c r="BQ23" s="636"/>
      <c r="BR23" s="636"/>
      <c r="BS23" s="636"/>
      <c r="BT23" s="636"/>
      <c r="BU23" s="636"/>
      <c r="BV23" s="636"/>
      <c r="BW23" s="636"/>
      <c r="BX23" s="636"/>
      <c r="BY23" s="636"/>
      <c r="BZ23" s="636"/>
      <c r="CA23" s="636"/>
      <c r="CB23" s="636"/>
      <c r="CC23" s="636"/>
      <c r="CD23" s="636"/>
      <c r="CE23" s="637"/>
      <c r="CF23" s="637"/>
      <c r="CG23" s="637"/>
      <c r="CH23" s="637"/>
      <c r="CI23" s="637"/>
      <c r="CJ23" s="637"/>
      <c r="CK23" s="637"/>
      <c r="CL23" s="637"/>
      <c r="CM23" s="637"/>
      <c r="CN23" s="637"/>
      <c r="CO23" s="637"/>
      <c r="CP23" s="637"/>
      <c r="CQ23" s="637"/>
      <c r="CR23" s="637"/>
      <c r="CS23" s="637"/>
      <c r="CT23" s="637"/>
      <c r="CU23" s="637"/>
      <c r="CV23" s="637"/>
      <c r="CW23" s="637"/>
      <c r="CX23" s="637"/>
      <c r="CY23" s="637"/>
      <c r="CZ23" s="637"/>
      <c r="DA23" s="637"/>
      <c r="DB23" s="637"/>
      <c r="DC23" s="637"/>
      <c r="DD23" s="637"/>
      <c r="DE23" s="637"/>
      <c r="DF23" s="637"/>
      <c r="DG23" s="637"/>
      <c r="DH23" s="637"/>
      <c r="DI23" s="637"/>
    </row>
    <row r="24" spans="1:113" s="9" customFormat="1" ht="16.5" customHeight="1">
      <c r="A24" s="13" t="s">
        <v>300</v>
      </c>
      <c r="B24" s="17"/>
      <c r="C24" s="276"/>
      <c r="D24" s="277"/>
      <c r="E24" s="834" t="s">
        <v>0</v>
      </c>
      <c r="F24" s="834" t="s">
        <v>0</v>
      </c>
      <c r="G24" s="834" t="s">
        <v>0</v>
      </c>
      <c r="H24" s="834" t="s">
        <v>0</v>
      </c>
      <c r="I24" s="834" t="s">
        <v>0</v>
      </c>
      <c r="J24" s="834" t="s">
        <v>0</v>
      </c>
      <c r="K24" s="58"/>
      <c r="L24" s="58"/>
      <c r="M24" s="58"/>
      <c r="N24" s="58"/>
      <c r="O24" s="58"/>
      <c r="P24" s="58"/>
      <c r="Q24" s="64"/>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row>
    <row r="25" spans="1:113" s="9" customFormat="1" ht="12.75" customHeight="1">
      <c r="A25" s="72"/>
      <c r="B25" s="72"/>
      <c r="C25" s="72"/>
      <c r="D25" s="73"/>
      <c r="E25" s="58"/>
      <c r="F25" s="58"/>
      <c r="G25" s="58"/>
      <c r="H25" s="58"/>
      <c r="I25" s="58"/>
      <c r="J25" s="58"/>
      <c r="K25" s="58"/>
      <c r="L25" s="58"/>
      <c r="M25" s="58"/>
      <c r="N25" s="58"/>
      <c r="O25" s="58"/>
      <c r="P25" s="58"/>
      <c r="Q25" s="64"/>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row>
    <row r="26" spans="1:113" ht="17.25" customHeight="1">
      <c r="A26" s="6" t="s">
        <v>302</v>
      </c>
      <c r="B26" s="6"/>
      <c r="C26" s="6"/>
      <c r="D26" s="50"/>
      <c r="E26" s="221"/>
      <c r="F26" s="221"/>
      <c r="G26" s="221"/>
      <c r="H26" s="221"/>
      <c r="I26" s="221"/>
      <c r="J26" s="221"/>
      <c r="K26" s="221"/>
      <c r="L26" s="221"/>
      <c r="M26" s="221"/>
      <c r="N26" s="221"/>
      <c r="O26" s="221"/>
      <c r="P26" s="221"/>
      <c r="Q26" s="221"/>
    </row>
    <row r="27" spans="1:113" s="9" customFormat="1" ht="16.5" customHeight="1">
      <c r="A27" s="10" t="s">
        <v>295</v>
      </c>
      <c r="B27" s="10"/>
      <c r="C27" s="10"/>
      <c r="D27" s="68"/>
      <c r="E27" s="835">
        <v>1</v>
      </c>
      <c r="F27" s="835">
        <v>3</v>
      </c>
      <c r="G27" s="835">
        <v>3</v>
      </c>
      <c r="H27" s="835">
        <v>3</v>
      </c>
      <c r="I27" s="835">
        <v>4</v>
      </c>
      <c r="J27" s="835">
        <v>6</v>
      </c>
      <c r="K27" s="8"/>
      <c r="L27" s="64"/>
      <c r="M27" s="64"/>
      <c r="N27" s="64"/>
      <c r="O27" s="64"/>
      <c r="P27" s="64"/>
      <c r="Q27" s="64"/>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row>
    <row r="28" spans="1:113" s="9" customFormat="1" ht="15.75" customHeight="1">
      <c r="A28" s="10" t="s">
        <v>296</v>
      </c>
      <c r="B28" s="10"/>
      <c r="C28" s="10"/>
      <c r="D28" s="68"/>
      <c r="E28" s="835">
        <v>7</v>
      </c>
      <c r="F28" s="835">
        <v>13</v>
      </c>
      <c r="G28" s="835">
        <v>14</v>
      </c>
      <c r="H28" s="835">
        <v>14</v>
      </c>
      <c r="I28" s="835">
        <v>16</v>
      </c>
      <c r="J28" s="835">
        <v>19</v>
      </c>
      <c r="K28" s="64"/>
      <c r="L28" s="64"/>
      <c r="M28" s="64"/>
      <c r="N28" s="64"/>
      <c r="O28" s="64"/>
      <c r="P28" s="64"/>
      <c r="Q28" s="64"/>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row>
    <row r="29" spans="1:113" s="9" customFormat="1" ht="16.5" customHeight="1">
      <c r="A29" s="11" t="s">
        <v>297</v>
      </c>
      <c r="B29" s="11"/>
      <c r="C29" s="11"/>
      <c r="D29" s="68"/>
      <c r="E29" s="835">
        <v>87</v>
      </c>
      <c r="F29" s="835">
        <v>130</v>
      </c>
      <c r="G29" s="835">
        <v>128</v>
      </c>
      <c r="H29" s="835">
        <v>128</v>
      </c>
      <c r="I29" s="835">
        <v>132</v>
      </c>
      <c r="J29" s="835">
        <v>145</v>
      </c>
      <c r="K29" s="8"/>
      <c r="L29" s="64"/>
      <c r="M29" s="64"/>
      <c r="N29" s="64"/>
      <c r="O29" s="64"/>
      <c r="P29" s="64"/>
      <c r="Q29" s="64"/>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row>
    <row r="30" spans="1:113" s="9" customFormat="1" ht="15" customHeight="1">
      <c r="A30" s="11" t="s">
        <v>298</v>
      </c>
      <c r="B30" s="11"/>
      <c r="C30" s="11"/>
      <c r="D30" s="68"/>
      <c r="E30" s="836">
        <f>SUM(E27:E29)</f>
        <v>95</v>
      </c>
      <c r="F30" s="836">
        <f>SUM(F27:F29)</f>
        <v>146</v>
      </c>
      <c r="G30" s="836">
        <v>65</v>
      </c>
      <c r="H30" s="836">
        <f>SUM(H27:H29)</f>
        <v>145</v>
      </c>
      <c r="I30" s="836">
        <f>SUM(I27:I29)</f>
        <v>152</v>
      </c>
      <c r="J30" s="836">
        <f>SUM(J27:J29)</f>
        <v>170</v>
      </c>
      <c r="K30" s="63"/>
      <c r="L30" s="63"/>
      <c r="M30" s="63"/>
      <c r="N30" s="63"/>
      <c r="O30" s="63"/>
      <c r="P30" s="64"/>
      <c r="Q30" s="12"/>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row>
    <row r="31" spans="1:113" s="9" customFormat="1" ht="16.5" customHeight="1">
      <c r="A31" s="11" t="s">
        <v>299</v>
      </c>
      <c r="B31" s="11"/>
      <c r="C31" s="11"/>
      <c r="D31" s="68"/>
      <c r="E31" s="835">
        <v>36</v>
      </c>
      <c r="F31" s="835">
        <v>40</v>
      </c>
      <c r="G31" s="835">
        <v>39</v>
      </c>
      <c r="H31" s="835">
        <v>39</v>
      </c>
      <c r="I31" s="835">
        <v>41</v>
      </c>
      <c r="J31" s="835">
        <v>48</v>
      </c>
      <c r="K31" s="8"/>
      <c r="L31" s="64"/>
      <c r="M31" s="64"/>
      <c r="N31" s="64"/>
      <c r="O31" s="64"/>
      <c r="P31" s="64"/>
      <c r="Q31" s="64"/>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row>
    <row r="32" spans="1:113" s="637" customFormat="1" ht="16.5" customHeight="1">
      <c r="A32" s="272" t="s">
        <v>74</v>
      </c>
      <c r="B32" s="272"/>
      <c r="C32" s="272"/>
      <c r="D32" s="68"/>
      <c r="E32" s="837">
        <f t="shared" ref="E32:J32" si="4">SUM(E30:E31)</f>
        <v>131</v>
      </c>
      <c r="F32" s="837">
        <f t="shared" si="4"/>
        <v>186</v>
      </c>
      <c r="G32" s="837">
        <f t="shared" si="4"/>
        <v>104</v>
      </c>
      <c r="H32" s="837">
        <f t="shared" si="4"/>
        <v>184</v>
      </c>
      <c r="I32" s="837">
        <f t="shared" si="4"/>
        <v>193</v>
      </c>
      <c r="J32" s="837">
        <f t="shared" si="4"/>
        <v>218</v>
      </c>
      <c r="K32" s="634"/>
      <c r="L32" s="12"/>
      <c r="M32" s="12"/>
      <c r="N32" s="12"/>
      <c r="O32" s="12"/>
      <c r="P32" s="12"/>
      <c r="Q32" s="12"/>
      <c r="S32" s="636"/>
      <c r="T32" s="636"/>
      <c r="U32" s="636"/>
      <c r="V32" s="636"/>
      <c r="W32" s="636"/>
      <c r="X32" s="636"/>
      <c r="Y32" s="636"/>
      <c r="Z32" s="636"/>
      <c r="AA32" s="636"/>
      <c r="AB32" s="636"/>
      <c r="AC32" s="636"/>
      <c r="AD32" s="636"/>
      <c r="AE32" s="636"/>
      <c r="AF32" s="636"/>
      <c r="AG32" s="636"/>
      <c r="AH32" s="636"/>
      <c r="AI32" s="636"/>
      <c r="AJ32" s="636"/>
      <c r="AK32" s="636"/>
      <c r="AL32" s="636"/>
      <c r="AM32" s="636"/>
      <c r="AN32" s="636"/>
      <c r="AO32" s="636"/>
      <c r="AP32" s="636"/>
      <c r="AQ32" s="636"/>
      <c r="AR32" s="636"/>
      <c r="AS32" s="636"/>
      <c r="AT32" s="636"/>
      <c r="AU32" s="636"/>
      <c r="AV32" s="636"/>
      <c r="AW32" s="636"/>
      <c r="AX32" s="636"/>
      <c r="AY32" s="636"/>
      <c r="AZ32" s="636"/>
      <c r="BA32" s="636"/>
      <c r="BB32" s="636"/>
      <c r="BC32" s="636"/>
      <c r="BD32" s="636"/>
      <c r="BE32" s="636"/>
      <c r="BF32" s="636"/>
      <c r="BG32" s="636"/>
      <c r="BH32" s="636"/>
      <c r="BI32" s="636"/>
      <c r="BJ32" s="636"/>
      <c r="BK32" s="636"/>
      <c r="BL32" s="636"/>
      <c r="BM32" s="636"/>
      <c r="BN32" s="636"/>
      <c r="BO32" s="636"/>
      <c r="BP32" s="636"/>
      <c r="BQ32" s="636"/>
      <c r="BR32" s="636"/>
      <c r="BS32" s="636"/>
      <c r="BT32" s="636"/>
      <c r="BU32" s="636"/>
      <c r="BV32" s="636"/>
      <c r="BW32" s="636"/>
      <c r="BX32" s="636"/>
      <c r="BY32" s="636"/>
      <c r="BZ32" s="636"/>
      <c r="CA32" s="636"/>
      <c r="CB32" s="636"/>
      <c r="CC32" s="636"/>
      <c r="CD32" s="636"/>
    </row>
    <row r="33" spans="1:82" s="9" customFormat="1" ht="15" customHeight="1">
      <c r="A33" s="13" t="s">
        <v>300</v>
      </c>
      <c r="B33" s="13"/>
      <c r="C33" s="13"/>
      <c r="D33" s="68"/>
      <c r="E33" s="64"/>
      <c r="F33" s="64"/>
      <c r="G33" s="64"/>
      <c r="H33" s="64"/>
      <c r="I33" s="64"/>
      <c r="J33" s="64"/>
      <c r="K33" s="64"/>
      <c r="L33" s="64"/>
      <c r="M33" s="64"/>
      <c r="N33" s="64"/>
      <c r="O33" s="64"/>
      <c r="P33" s="64"/>
      <c r="Q33" s="64"/>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row>
    <row r="34" spans="1:82">
      <c r="A34" s="14"/>
      <c r="B34" s="15"/>
      <c r="C34" s="15"/>
      <c r="D34" s="15"/>
      <c r="E34" s="134"/>
      <c r="F34" s="134"/>
      <c r="G34" s="134"/>
      <c r="H34" s="134"/>
      <c r="I34" s="134"/>
      <c r="J34" s="134"/>
      <c r="K34" s="134"/>
      <c r="L34" s="134"/>
      <c r="M34" s="134"/>
      <c r="N34" s="134"/>
      <c r="O34" s="134"/>
      <c r="P34" s="134"/>
      <c r="Q34" s="134"/>
    </row>
    <row r="35" spans="1:82">
      <c r="A35" s="16" t="s">
        <v>303</v>
      </c>
      <c r="B35" s="125"/>
      <c r="C35" s="125"/>
      <c r="D35" s="51"/>
      <c r="E35" s="222"/>
      <c r="F35" s="222"/>
      <c r="G35" s="222"/>
      <c r="H35" s="222"/>
      <c r="I35" s="222"/>
      <c r="J35" s="222"/>
      <c r="K35" s="222"/>
      <c r="L35" s="222"/>
      <c r="M35" s="222"/>
      <c r="N35" s="222"/>
      <c r="O35" s="222"/>
      <c r="P35" s="222"/>
      <c r="Q35" s="222"/>
    </row>
    <row r="36" spans="1:82">
      <c r="A36" s="11" t="s">
        <v>304</v>
      </c>
      <c r="B36" s="11"/>
      <c r="C36" s="11"/>
      <c r="D36" s="69">
        <v>0</v>
      </c>
      <c r="E36" s="64">
        <v>0</v>
      </c>
      <c r="F36" s="64">
        <v>0</v>
      </c>
      <c r="G36" s="64">
        <v>0</v>
      </c>
      <c r="H36" s="64">
        <v>0</v>
      </c>
      <c r="I36" s="64">
        <v>0</v>
      </c>
      <c r="J36" s="64">
        <v>0</v>
      </c>
      <c r="K36" s="64"/>
      <c r="L36" s="64"/>
      <c r="M36" s="64"/>
      <c r="N36" s="64"/>
      <c r="O36" s="64"/>
      <c r="P36" s="64"/>
      <c r="Q36" s="64"/>
    </row>
    <row r="37" spans="1:82">
      <c r="A37" s="16" t="s">
        <v>305</v>
      </c>
      <c r="B37" s="125"/>
      <c r="C37" s="125"/>
      <c r="D37" s="51"/>
      <c r="E37" s="222"/>
      <c r="F37" s="222"/>
      <c r="G37" s="222"/>
      <c r="H37" s="222"/>
      <c r="I37" s="222"/>
      <c r="J37" s="222"/>
      <c r="K37" s="222"/>
      <c r="L37" s="222"/>
      <c r="M37" s="222"/>
      <c r="N37" s="222"/>
      <c r="O37" s="222"/>
      <c r="P37" s="222"/>
      <c r="Q37" s="222"/>
    </row>
    <row r="38" spans="1:82">
      <c r="A38" s="11" t="s">
        <v>306</v>
      </c>
      <c r="B38" s="11"/>
      <c r="C38" s="278"/>
      <c r="D38" s="274">
        <v>5</v>
      </c>
      <c r="E38" s="270">
        <v>5</v>
      </c>
      <c r="F38" s="270">
        <v>5</v>
      </c>
      <c r="G38" s="270">
        <v>5</v>
      </c>
      <c r="H38" s="64">
        <v>5</v>
      </c>
      <c r="I38" s="64">
        <v>5</v>
      </c>
      <c r="J38" s="64">
        <v>5</v>
      </c>
      <c r="K38" s="8"/>
      <c r="L38" s="64"/>
      <c r="M38" s="64"/>
      <c r="N38" s="64"/>
      <c r="O38" s="64"/>
      <c r="P38" s="64"/>
      <c r="Q38" s="64"/>
    </row>
    <row r="39" spans="1:82">
      <c r="A39" s="11" t="s">
        <v>307</v>
      </c>
      <c r="B39" s="11"/>
      <c r="C39" s="127"/>
      <c r="D39" s="274">
        <v>60</v>
      </c>
      <c r="E39" s="270">
        <v>61</v>
      </c>
      <c r="F39" s="270">
        <v>64</v>
      </c>
      <c r="G39" s="270">
        <v>64</v>
      </c>
      <c r="H39" s="64">
        <v>64</v>
      </c>
      <c r="I39" s="64">
        <v>64</v>
      </c>
      <c r="J39" s="64">
        <v>64</v>
      </c>
      <c r="K39" s="8"/>
      <c r="L39" s="64"/>
      <c r="M39" s="64"/>
      <c r="N39" s="64"/>
      <c r="O39" s="64"/>
      <c r="P39" s="64"/>
      <c r="Q39" s="64"/>
    </row>
    <row r="40" spans="1:82">
      <c r="A40" s="11" t="s">
        <v>308</v>
      </c>
      <c r="B40" s="128"/>
      <c r="C40" s="127">
        <v>67</v>
      </c>
      <c r="D40" s="269">
        <v>65</v>
      </c>
      <c r="E40" s="127">
        <f>SUM(E38:E39)</f>
        <v>66</v>
      </c>
      <c r="F40" s="127">
        <f t="shared" ref="F40:J40" si="5">SUM(F38:F39)</f>
        <v>69</v>
      </c>
      <c r="G40" s="127">
        <f t="shared" si="5"/>
        <v>69</v>
      </c>
      <c r="H40" s="127">
        <f t="shared" si="5"/>
        <v>69</v>
      </c>
      <c r="I40" s="127">
        <f t="shared" si="5"/>
        <v>69</v>
      </c>
      <c r="J40" s="127">
        <f t="shared" si="5"/>
        <v>69</v>
      </c>
      <c r="K40" s="63"/>
      <c r="L40" s="63"/>
      <c r="M40" s="63"/>
      <c r="N40" s="63"/>
      <c r="O40" s="63"/>
      <c r="P40" s="63"/>
      <c r="Q40" s="64"/>
    </row>
    <row r="41" spans="1:82">
      <c r="A41" s="66"/>
      <c r="B41" s="67"/>
      <c r="C41" s="67"/>
      <c r="D41" s="67"/>
      <c r="E41" s="64"/>
      <c r="F41" s="64"/>
      <c r="G41" s="64"/>
      <c r="H41" s="64"/>
      <c r="I41" s="64"/>
      <c r="J41" s="64"/>
      <c r="K41" s="64"/>
      <c r="L41" s="64"/>
      <c r="M41" s="64"/>
      <c r="N41" s="64"/>
      <c r="O41" s="64"/>
      <c r="P41" s="64"/>
      <c r="Q41" s="64"/>
    </row>
    <row r="42" spans="1:82">
      <c r="A42" s="20" t="s">
        <v>309</v>
      </c>
      <c r="B42" s="126"/>
      <c r="C42" s="126"/>
      <c r="D42" s="52"/>
      <c r="E42" s="222"/>
      <c r="F42" s="222"/>
      <c r="G42" s="222"/>
      <c r="H42" s="222"/>
      <c r="I42" s="222"/>
      <c r="J42" s="222"/>
      <c r="K42" s="222"/>
      <c r="L42" s="222"/>
      <c r="M42" s="222"/>
      <c r="N42" s="222"/>
      <c r="O42" s="222"/>
      <c r="P42" s="222"/>
      <c r="Q42" s="222"/>
    </row>
    <row r="43" spans="1:82">
      <c r="A43" s="11" t="s">
        <v>310</v>
      </c>
      <c r="B43" s="11"/>
      <c r="C43" s="127">
        <v>104</v>
      </c>
      <c r="D43" s="269">
        <v>52</v>
      </c>
      <c r="E43" s="270">
        <v>4</v>
      </c>
      <c r="F43" s="270">
        <v>1</v>
      </c>
      <c r="G43" s="270">
        <v>2</v>
      </c>
      <c r="H43" s="64">
        <v>1</v>
      </c>
      <c r="I43" s="64">
        <v>5</v>
      </c>
      <c r="J43" s="64">
        <v>7</v>
      </c>
      <c r="K43" s="8"/>
      <c r="L43" s="64"/>
      <c r="M43" s="64"/>
      <c r="N43" s="64"/>
      <c r="O43" s="64"/>
      <c r="P43" s="64"/>
      <c r="Q43" s="12">
        <f>SUM(E43:P43)</f>
        <v>20</v>
      </c>
    </row>
    <row r="44" spans="1:82">
      <c r="A44" s="11" t="s">
        <v>311</v>
      </c>
      <c r="B44" s="11"/>
      <c r="C44" s="127">
        <v>108</v>
      </c>
      <c r="D44" s="269">
        <v>74</v>
      </c>
      <c r="E44" s="270">
        <v>2</v>
      </c>
      <c r="F44" s="270">
        <v>10</v>
      </c>
      <c r="G44" s="270">
        <v>15</v>
      </c>
      <c r="H44" s="64">
        <v>12</v>
      </c>
      <c r="I44" s="64">
        <v>3</v>
      </c>
      <c r="J44" s="64">
        <v>11</v>
      </c>
      <c r="K44" s="8"/>
      <c r="L44" s="64"/>
      <c r="M44" s="64"/>
      <c r="N44" s="64"/>
      <c r="O44" s="64"/>
      <c r="P44" s="64"/>
      <c r="Q44" s="12">
        <f t="shared" ref="Q44:Q45" si="6">SUM(E44:P44)</f>
        <v>53</v>
      </c>
    </row>
    <row r="45" spans="1:82">
      <c r="A45" s="11" t="s">
        <v>308</v>
      </c>
      <c r="B45" s="11"/>
      <c r="C45" s="127">
        <f>C43+C44</f>
        <v>212</v>
      </c>
      <c r="D45" s="127">
        <f t="shared" ref="D45:J45" si="7">D43+D44</f>
        <v>126</v>
      </c>
      <c r="E45" s="127">
        <f t="shared" si="7"/>
        <v>6</v>
      </c>
      <c r="F45" s="127">
        <f t="shared" si="7"/>
        <v>11</v>
      </c>
      <c r="G45" s="127">
        <f t="shared" si="7"/>
        <v>17</v>
      </c>
      <c r="H45" s="127">
        <f t="shared" si="7"/>
        <v>13</v>
      </c>
      <c r="I45" s="127">
        <f t="shared" si="7"/>
        <v>8</v>
      </c>
      <c r="J45" s="127">
        <f t="shared" si="7"/>
        <v>18</v>
      </c>
      <c r="K45" s="63"/>
      <c r="L45" s="63"/>
      <c r="M45" s="63"/>
      <c r="N45" s="63"/>
      <c r="O45" s="63"/>
      <c r="P45" s="63"/>
      <c r="Q45" s="12">
        <f t="shared" si="6"/>
        <v>73</v>
      </c>
    </row>
    <row r="48" spans="1:82">
      <c r="A48" s="2"/>
      <c r="B48" s="2"/>
      <c r="C48" s="2"/>
      <c r="D48" s="53"/>
    </row>
  </sheetData>
  <mergeCells count="3">
    <mergeCell ref="A3:R3"/>
    <mergeCell ref="E4:Q4"/>
    <mergeCell ref="A4:A5"/>
  </mergeCells>
  <pageMargins left="0.70866141732283461" right="0.70866141732283461" top="0.74803149606299213" bottom="0.74803149606299213" header="0.31496062992125984" footer="0.31496062992125984"/>
  <pageSetup paperSize="8" scale="74" fitToHeight="0" orientation="landscape"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5"/>
  <sheetViews>
    <sheetView view="pageBreakPreview" zoomScale="90" zoomScaleNormal="90" zoomScaleSheetLayoutView="90" zoomScalePageLayoutView="30" workbookViewId="0">
      <selection activeCell="J9" sqref="J9"/>
    </sheetView>
  </sheetViews>
  <sheetFormatPr defaultColWidth="9.140625" defaultRowHeight="36" customHeight="1"/>
  <cols>
    <col min="1" max="1" width="68.140625" style="28" customWidth="1"/>
    <col min="2" max="2" width="8.7109375" style="28" customWidth="1"/>
    <col min="3" max="4" width="9" style="55" customWidth="1"/>
    <col min="5" max="5" width="7.140625" style="30" customWidth="1"/>
    <col min="6" max="6" width="7.140625" style="29" customWidth="1"/>
    <col min="7" max="16" width="7.140625" style="31" customWidth="1"/>
    <col min="17" max="17" width="9" style="31" customWidth="1"/>
    <col min="18" max="16384" width="9.140625" style="32"/>
  </cols>
  <sheetData>
    <row r="1" spans="1:17" s="25" customFormat="1" ht="26.25" customHeight="1">
      <c r="A1" s="21" t="s">
        <v>18</v>
      </c>
      <c r="B1" s="21"/>
      <c r="C1" s="54"/>
      <c r="D1" s="54"/>
      <c r="E1" s="23"/>
      <c r="F1" s="22"/>
      <c r="G1" s="24"/>
      <c r="H1" s="24"/>
      <c r="I1" s="24"/>
      <c r="J1" s="24"/>
      <c r="K1" s="24"/>
      <c r="L1" s="24"/>
      <c r="M1" s="24"/>
      <c r="N1" s="24"/>
      <c r="O1" s="24"/>
      <c r="P1" s="24"/>
      <c r="Q1" s="24"/>
    </row>
    <row r="2" spans="1:17" s="25" customFormat="1" ht="26.25" customHeight="1">
      <c r="A2" s="21" t="s">
        <v>19</v>
      </c>
      <c r="B2" s="21"/>
      <c r="C2" s="54"/>
      <c r="D2" s="54"/>
      <c r="E2" s="23"/>
      <c r="F2" s="22"/>
      <c r="G2" s="24"/>
      <c r="H2" s="24"/>
      <c r="I2" s="24"/>
      <c r="J2" s="24"/>
      <c r="K2" s="24"/>
      <c r="L2" s="24"/>
      <c r="M2" s="24"/>
      <c r="N2" s="24"/>
      <c r="O2" s="24"/>
      <c r="P2" s="24"/>
      <c r="Q2" s="24"/>
    </row>
    <row r="3" spans="1:17" s="25" customFormat="1" ht="26.25" customHeight="1">
      <c r="A3" s="21"/>
      <c r="B3" s="21"/>
      <c r="C3" s="54"/>
      <c r="D3" s="54"/>
      <c r="E3" s="23"/>
      <c r="F3" s="22"/>
      <c r="G3" s="24"/>
      <c r="H3" s="24"/>
      <c r="I3" s="24"/>
      <c r="J3" s="24"/>
      <c r="K3" s="24"/>
      <c r="L3" s="24"/>
      <c r="M3" s="24"/>
      <c r="N3" s="24"/>
      <c r="O3" s="24"/>
      <c r="P3" s="24"/>
      <c r="Q3" s="24"/>
    </row>
    <row r="4" spans="1:17" s="25" customFormat="1" ht="26.25" customHeight="1">
      <c r="A4" s="1176" t="s">
        <v>362</v>
      </c>
      <c r="B4" s="1176"/>
      <c r="C4" s="1176"/>
      <c r="D4" s="1176"/>
      <c r="E4" s="1176"/>
      <c r="F4" s="1176"/>
      <c r="G4" s="1176"/>
      <c r="H4" s="1176"/>
      <c r="I4" s="1176"/>
      <c r="J4" s="1176"/>
      <c r="K4" s="1176"/>
      <c r="L4" s="1176"/>
      <c r="M4" s="1176"/>
      <c r="N4" s="1176"/>
      <c r="O4" s="1176"/>
      <c r="P4" s="1176"/>
      <c r="Q4" s="1176"/>
    </row>
    <row r="5" spans="1:17" s="25" customFormat="1" ht="26.25" customHeight="1">
      <c r="A5" s="1090" t="s">
        <v>328</v>
      </c>
      <c r="B5" s="1177" t="s">
        <v>270</v>
      </c>
      <c r="C5" s="1177" t="s">
        <v>271</v>
      </c>
      <c r="D5" s="1085" t="s">
        <v>261</v>
      </c>
      <c r="E5" s="1179">
        <v>2016</v>
      </c>
      <c r="F5" s="1180"/>
      <c r="G5" s="1180"/>
      <c r="H5" s="1180"/>
      <c r="I5" s="1180"/>
      <c r="J5" s="1180"/>
      <c r="K5" s="1180"/>
      <c r="L5" s="1180"/>
      <c r="M5" s="1180"/>
      <c r="N5" s="1180"/>
      <c r="O5" s="1180"/>
      <c r="P5" s="1180"/>
      <c r="Q5" s="1181"/>
    </row>
    <row r="6" spans="1:17" s="25" customFormat="1" ht="26.25" customHeight="1">
      <c r="A6" s="1092"/>
      <c r="B6" s="1178"/>
      <c r="C6" s="1178"/>
      <c r="D6" s="1086"/>
      <c r="E6" s="1" t="s">
        <v>26</v>
      </c>
      <c r="F6" s="1" t="s">
        <v>27</v>
      </c>
      <c r="G6" s="1" t="s">
        <v>28</v>
      </c>
      <c r="H6" s="1" t="s">
        <v>29</v>
      </c>
      <c r="I6" s="1" t="s">
        <v>30</v>
      </c>
      <c r="J6" s="1" t="s">
        <v>31</v>
      </c>
      <c r="K6" s="1" t="s">
        <v>32</v>
      </c>
      <c r="L6" s="1" t="s">
        <v>33</v>
      </c>
      <c r="M6" s="1" t="s">
        <v>34</v>
      </c>
      <c r="N6" s="1" t="s">
        <v>35</v>
      </c>
      <c r="O6" s="1" t="s">
        <v>36</v>
      </c>
      <c r="P6" s="1" t="s">
        <v>37</v>
      </c>
      <c r="Q6" s="1" t="s">
        <v>38</v>
      </c>
    </row>
    <row r="7" spans="1:17" s="25" customFormat="1" ht="20.25" customHeight="1">
      <c r="A7" s="85" t="s">
        <v>262</v>
      </c>
      <c r="B7" s="85"/>
      <c r="C7" s="85"/>
      <c r="D7" s="85"/>
      <c r="E7" s="75"/>
      <c r="F7" s="75"/>
      <c r="G7" s="75"/>
      <c r="H7" s="75"/>
      <c r="I7" s="75"/>
      <c r="J7" s="75"/>
      <c r="K7" s="75"/>
      <c r="L7" s="75"/>
      <c r="M7" s="75"/>
      <c r="N7" s="75"/>
      <c r="O7" s="75"/>
      <c r="P7" s="75"/>
      <c r="Q7" s="75"/>
    </row>
    <row r="8" spans="1:17" s="25" customFormat="1" ht="34.5" customHeight="1">
      <c r="A8" s="33" t="s">
        <v>263</v>
      </c>
      <c r="B8" s="168"/>
      <c r="C8" s="285"/>
      <c r="D8" s="290">
        <v>3022</v>
      </c>
      <c r="E8" s="35"/>
      <c r="F8" s="35"/>
      <c r="G8" s="282"/>
      <c r="H8" s="35"/>
      <c r="I8" s="35"/>
      <c r="J8" s="283"/>
      <c r="K8" s="35"/>
      <c r="L8" s="35"/>
      <c r="M8" s="283"/>
      <c r="N8" s="35"/>
      <c r="O8" s="35"/>
      <c r="P8" s="283"/>
      <c r="Q8" s="284"/>
    </row>
    <row r="9" spans="1:17" s="37" customFormat="1" ht="48" customHeight="1">
      <c r="A9" s="33" t="s">
        <v>264</v>
      </c>
      <c r="B9" s="168"/>
      <c r="C9" s="289"/>
      <c r="D9" s="290">
        <v>327</v>
      </c>
      <c r="E9" s="291">
        <v>20</v>
      </c>
      <c r="F9" s="291">
        <v>11</v>
      </c>
      <c r="G9" s="291">
        <v>23</v>
      </c>
      <c r="H9" s="27">
        <v>23</v>
      </c>
      <c r="I9" s="27">
        <v>28</v>
      </c>
      <c r="J9" s="27">
        <v>24</v>
      </c>
      <c r="K9" s="27"/>
      <c r="L9" s="27"/>
      <c r="M9" s="27"/>
      <c r="N9" s="27"/>
      <c r="O9" s="27"/>
      <c r="P9" s="27"/>
      <c r="Q9" s="36">
        <f>SUM(E9:P9)</f>
        <v>129</v>
      </c>
    </row>
    <row r="10" spans="1:17" s="37" customFormat="1" ht="48" customHeight="1">
      <c r="A10" s="33" t="s">
        <v>265</v>
      </c>
      <c r="B10" s="168"/>
      <c r="C10" s="289"/>
      <c r="D10" s="290">
        <v>294</v>
      </c>
      <c r="E10" s="291">
        <v>20</v>
      </c>
      <c r="F10" s="291">
        <v>11</v>
      </c>
      <c r="G10" s="291">
        <v>16</v>
      </c>
      <c r="H10" s="27">
        <v>22</v>
      </c>
      <c r="I10" s="27">
        <v>23</v>
      </c>
      <c r="J10" s="27">
        <v>21</v>
      </c>
      <c r="K10" s="27"/>
      <c r="L10" s="27"/>
      <c r="M10" s="27"/>
      <c r="N10" s="27"/>
      <c r="O10" s="27"/>
      <c r="P10" s="27"/>
      <c r="Q10" s="259">
        <f t="shared" ref="Q10:Q13" si="0">SUM(E10:P10)</f>
        <v>113</v>
      </c>
    </row>
    <row r="11" spans="1:17" s="37" customFormat="1" ht="48" customHeight="1">
      <c r="A11" s="33" t="s">
        <v>266</v>
      </c>
      <c r="B11" s="168"/>
      <c r="C11" s="289"/>
      <c r="D11" s="38">
        <v>896.90777901000001</v>
      </c>
      <c r="E11" s="293">
        <v>39.976373700000003</v>
      </c>
      <c r="F11" s="293">
        <v>61.803191159999997</v>
      </c>
      <c r="G11" s="293">
        <v>5.40324267</v>
      </c>
      <c r="H11" s="38">
        <v>340.24829992000002</v>
      </c>
      <c r="I11" s="38">
        <v>45.22660123</v>
      </c>
      <c r="J11" s="38">
        <v>25.39050748</v>
      </c>
      <c r="K11" s="38"/>
      <c r="L11" s="38"/>
      <c r="M11" s="38"/>
      <c r="N11" s="38"/>
      <c r="O11" s="38"/>
      <c r="P11" s="38"/>
      <c r="Q11" s="279">
        <f t="shared" si="0"/>
        <v>518.04821616000004</v>
      </c>
    </row>
    <row r="12" spans="1:17" s="37" customFormat="1" ht="48" customHeight="1">
      <c r="A12" s="33" t="s">
        <v>267</v>
      </c>
      <c r="B12" s="168"/>
      <c r="C12" s="289"/>
      <c r="D12" s="290">
        <v>14218</v>
      </c>
      <c r="E12" s="292">
        <v>157</v>
      </c>
      <c r="F12" s="292">
        <v>303</v>
      </c>
      <c r="G12" s="292">
        <v>304</v>
      </c>
      <c r="H12" s="59">
        <v>343</v>
      </c>
      <c r="I12" s="59">
        <v>255</v>
      </c>
      <c r="J12" s="59">
        <v>174</v>
      </c>
      <c r="K12" s="59"/>
      <c r="L12" s="59"/>
      <c r="M12" s="60"/>
      <c r="N12" s="60"/>
      <c r="O12" s="60"/>
      <c r="P12" s="38"/>
      <c r="Q12" s="259">
        <f t="shared" si="0"/>
        <v>1536</v>
      </c>
    </row>
    <row r="13" spans="1:17" s="37" customFormat="1" ht="48" customHeight="1">
      <c r="A13" s="33" t="s">
        <v>268</v>
      </c>
      <c r="B13" s="168"/>
      <c r="C13" s="167"/>
      <c r="D13" s="38">
        <v>20148.689999999999</v>
      </c>
      <c r="E13" s="294">
        <v>75.958645590000089</v>
      </c>
      <c r="F13" s="294">
        <v>322.17139817000003</v>
      </c>
      <c r="G13" s="294">
        <v>658.76815386999999</v>
      </c>
      <c r="H13" s="38">
        <v>442.40324249000003</v>
      </c>
      <c r="I13" s="62">
        <v>527.76119082000002</v>
      </c>
      <c r="J13" s="62">
        <v>255.65716853000001</v>
      </c>
      <c r="K13" s="62"/>
      <c r="L13" s="62"/>
      <c r="M13" s="62"/>
      <c r="N13" s="62"/>
      <c r="O13" s="62"/>
      <c r="P13" s="38"/>
      <c r="Q13" s="279">
        <f t="shared" si="0"/>
        <v>2282.7197994700005</v>
      </c>
    </row>
    <row r="14" spans="1:17" ht="26.25" customHeight="1">
      <c r="A14" s="34" t="s">
        <v>94</v>
      </c>
      <c r="B14" s="34"/>
      <c r="C14" s="56"/>
      <c r="D14" s="56"/>
      <c r="E14" s="39"/>
      <c r="F14" s="40"/>
      <c r="G14" s="40"/>
      <c r="H14" s="41"/>
      <c r="I14" s="26"/>
      <c r="J14" s="42"/>
      <c r="K14" s="42"/>
      <c r="L14" s="42"/>
      <c r="M14" s="43"/>
      <c r="N14" s="43"/>
      <c r="O14" s="43"/>
      <c r="P14" s="43"/>
      <c r="Q14" s="43"/>
    </row>
    <row r="15" spans="1:17" ht="26.25" customHeight="1">
      <c r="A15" s="1175" t="s">
        <v>269</v>
      </c>
      <c r="B15" s="1175"/>
      <c r="C15" s="1175"/>
      <c r="D15" s="1175"/>
      <c r="E15" s="1175"/>
      <c r="F15" s="1175"/>
      <c r="G15" s="1175"/>
      <c r="H15" s="1175"/>
      <c r="I15" s="1175"/>
      <c r="J15" s="1175"/>
      <c r="K15" s="1175"/>
      <c r="L15" s="1175"/>
      <c r="M15" s="1175"/>
      <c r="N15" s="1175"/>
      <c r="O15" s="1175"/>
      <c r="P15" s="1175"/>
      <c r="Q15" s="1175"/>
    </row>
  </sheetData>
  <mergeCells count="7">
    <mergeCell ref="A15:Q15"/>
    <mergeCell ref="A4:Q4"/>
    <mergeCell ref="A5:A6"/>
    <mergeCell ref="C5:C6"/>
    <mergeCell ref="E5:Q5"/>
    <mergeCell ref="B5:B6"/>
    <mergeCell ref="D5:D6"/>
  </mergeCells>
  <pageMargins left="0.70866141732283472" right="0.70866141732283472" top="0.74803149606299213" bottom="0.74803149606299213" header="0.31496062992125984" footer="0.31496062992125984"/>
  <pageSetup paperSize="9" scale="69" fitToHeight="0" orientation="landscape"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5"/>
  <sheetViews>
    <sheetView view="pageBreakPreview" zoomScaleNormal="100" zoomScaleSheetLayoutView="100" workbookViewId="0">
      <selection activeCell="N11" sqref="N11"/>
    </sheetView>
  </sheetViews>
  <sheetFormatPr defaultRowHeight="12"/>
  <cols>
    <col min="1" max="1" width="64.42578125" style="102" customWidth="1"/>
    <col min="2" max="2" width="7.140625" style="113" customWidth="1"/>
    <col min="3" max="3" width="7.5703125" style="113" customWidth="1"/>
    <col min="4" max="4" width="7.28515625" style="113" customWidth="1"/>
    <col min="5" max="5" width="6.5703125" style="114" bestFit="1" customWidth="1"/>
    <col min="6" max="6" width="6.5703125" style="111" bestFit="1" customWidth="1"/>
    <col min="7" max="7" width="6.7109375" style="111" bestFit="1" customWidth="1"/>
    <col min="8" max="8" width="7" style="111" customWidth="1"/>
    <col min="9" max="12" width="7.5703125" style="111" customWidth="1"/>
    <col min="13" max="13" width="7.7109375" style="111" customWidth="1"/>
    <col min="14" max="17" width="7.5703125" style="111" customWidth="1"/>
    <col min="18" max="256" width="9.140625" style="111"/>
    <col min="257" max="257" width="82" style="111" customWidth="1"/>
    <col min="258" max="258" width="10.7109375" style="111" customWidth="1"/>
    <col min="259" max="259" width="8.5703125" style="111" customWidth="1"/>
    <col min="260" max="260" width="10.85546875" style="111" customWidth="1"/>
    <col min="261" max="261" width="8.85546875" style="111" customWidth="1"/>
    <col min="262" max="262" width="13.85546875" style="111" customWidth="1"/>
    <col min="263" max="263" width="11" style="111" customWidth="1"/>
    <col min="264" max="265" width="12.28515625" style="111" customWidth="1"/>
    <col min="266" max="266" width="6.42578125" style="111" customWidth="1"/>
    <col min="267" max="267" width="9.140625" style="111" customWidth="1"/>
    <col min="268" max="268" width="6.85546875" style="111" customWidth="1"/>
    <col min="269" max="269" width="10.42578125" style="111" customWidth="1"/>
    <col min="270" max="270" width="10" style="111" customWidth="1"/>
    <col min="271" max="271" width="6.7109375" style="111" bestFit="1" customWidth="1"/>
    <col min="272" max="272" width="9.140625" style="111" customWidth="1"/>
    <col min="273" max="512" width="9.140625" style="111"/>
    <col min="513" max="513" width="82" style="111" customWidth="1"/>
    <col min="514" max="514" width="10.7109375" style="111" customWidth="1"/>
    <col min="515" max="515" width="8.5703125" style="111" customWidth="1"/>
    <col min="516" max="516" width="10.85546875" style="111" customWidth="1"/>
    <col min="517" max="517" width="8.85546875" style="111" customWidth="1"/>
    <col min="518" max="518" width="13.85546875" style="111" customWidth="1"/>
    <col min="519" max="519" width="11" style="111" customWidth="1"/>
    <col min="520" max="521" width="12.28515625" style="111" customWidth="1"/>
    <col min="522" max="522" width="6.42578125" style="111" customWidth="1"/>
    <col min="523" max="523" width="9.140625" style="111" customWidth="1"/>
    <col min="524" max="524" width="6.85546875" style="111" customWidth="1"/>
    <col min="525" max="525" width="10.42578125" style="111" customWidth="1"/>
    <col min="526" max="526" width="10" style="111" customWidth="1"/>
    <col min="527" max="527" width="6.7109375" style="111" bestFit="1" customWidth="1"/>
    <col min="528" max="528" width="9.140625" style="111" customWidth="1"/>
    <col min="529" max="768" width="9.140625" style="111"/>
    <col min="769" max="769" width="82" style="111" customWidth="1"/>
    <col min="770" max="770" width="10.7109375" style="111" customWidth="1"/>
    <col min="771" max="771" width="8.5703125" style="111" customWidth="1"/>
    <col min="772" max="772" width="10.85546875" style="111" customWidth="1"/>
    <col min="773" max="773" width="8.85546875" style="111" customWidth="1"/>
    <col min="774" max="774" width="13.85546875" style="111" customWidth="1"/>
    <col min="775" max="775" width="11" style="111" customWidth="1"/>
    <col min="776" max="777" width="12.28515625" style="111" customWidth="1"/>
    <col min="778" max="778" width="6.42578125" style="111" customWidth="1"/>
    <col min="779" max="779" width="9.140625" style="111" customWidth="1"/>
    <col min="780" max="780" width="6.85546875" style="111" customWidth="1"/>
    <col min="781" max="781" width="10.42578125" style="111" customWidth="1"/>
    <col min="782" max="782" width="10" style="111" customWidth="1"/>
    <col min="783" max="783" width="6.7109375" style="111" bestFit="1" customWidth="1"/>
    <col min="784" max="784" width="9.140625" style="111" customWidth="1"/>
    <col min="785" max="1024" width="9.140625" style="111"/>
    <col min="1025" max="1025" width="82" style="111" customWidth="1"/>
    <col min="1026" max="1026" width="10.7109375" style="111" customWidth="1"/>
    <col min="1027" max="1027" width="8.5703125" style="111" customWidth="1"/>
    <col min="1028" max="1028" width="10.85546875" style="111" customWidth="1"/>
    <col min="1029" max="1029" width="8.85546875" style="111" customWidth="1"/>
    <col min="1030" max="1030" width="13.85546875" style="111" customWidth="1"/>
    <col min="1031" max="1031" width="11" style="111" customWidth="1"/>
    <col min="1032" max="1033" width="12.28515625" style="111" customWidth="1"/>
    <col min="1034" max="1034" width="6.42578125" style="111" customWidth="1"/>
    <col min="1035" max="1035" width="9.140625" style="111" customWidth="1"/>
    <col min="1036" max="1036" width="6.85546875" style="111" customWidth="1"/>
    <col min="1037" max="1037" width="10.42578125" style="111" customWidth="1"/>
    <col min="1038" max="1038" width="10" style="111" customWidth="1"/>
    <col min="1039" max="1039" width="6.7109375" style="111" bestFit="1" customWidth="1"/>
    <col min="1040" max="1040" width="9.140625" style="111" customWidth="1"/>
    <col min="1041" max="1280" width="9.140625" style="111"/>
    <col min="1281" max="1281" width="82" style="111" customWidth="1"/>
    <col min="1282" max="1282" width="10.7109375" style="111" customWidth="1"/>
    <col min="1283" max="1283" width="8.5703125" style="111" customWidth="1"/>
    <col min="1284" max="1284" width="10.85546875" style="111" customWidth="1"/>
    <col min="1285" max="1285" width="8.85546875" style="111" customWidth="1"/>
    <col min="1286" max="1286" width="13.85546875" style="111" customWidth="1"/>
    <col min="1287" max="1287" width="11" style="111" customWidth="1"/>
    <col min="1288" max="1289" width="12.28515625" style="111" customWidth="1"/>
    <col min="1290" max="1290" width="6.42578125" style="111" customWidth="1"/>
    <col min="1291" max="1291" width="9.140625" style="111" customWidth="1"/>
    <col min="1292" max="1292" width="6.85546875" style="111" customWidth="1"/>
    <col min="1293" max="1293" width="10.42578125" style="111" customWidth="1"/>
    <col min="1294" max="1294" width="10" style="111" customWidth="1"/>
    <col min="1295" max="1295" width="6.7109375" style="111" bestFit="1" customWidth="1"/>
    <col min="1296" max="1296" width="9.140625" style="111" customWidth="1"/>
    <col min="1297" max="1536" width="9.140625" style="111"/>
    <col min="1537" max="1537" width="82" style="111" customWidth="1"/>
    <col min="1538" max="1538" width="10.7109375" style="111" customWidth="1"/>
    <col min="1539" max="1539" width="8.5703125" style="111" customWidth="1"/>
    <col min="1540" max="1540" width="10.85546875" style="111" customWidth="1"/>
    <col min="1541" max="1541" width="8.85546875" style="111" customWidth="1"/>
    <col min="1542" max="1542" width="13.85546875" style="111" customWidth="1"/>
    <col min="1543" max="1543" width="11" style="111" customWidth="1"/>
    <col min="1544" max="1545" width="12.28515625" style="111" customWidth="1"/>
    <col min="1546" max="1546" width="6.42578125" style="111" customWidth="1"/>
    <col min="1547" max="1547" width="9.140625" style="111" customWidth="1"/>
    <col min="1548" max="1548" width="6.85546875" style="111" customWidth="1"/>
    <col min="1549" max="1549" width="10.42578125" style="111" customWidth="1"/>
    <col min="1550" max="1550" width="10" style="111" customWidth="1"/>
    <col min="1551" max="1551" width="6.7109375" style="111" bestFit="1" customWidth="1"/>
    <col min="1552" max="1552" width="9.140625" style="111" customWidth="1"/>
    <col min="1553" max="1792" width="9.140625" style="111"/>
    <col min="1793" max="1793" width="82" style="111" customWidth="1"/>
    <col min="1794" max="1794" width="10.7109375" style="111" customWidth="1"/>
    <col min="1795" max="1795" width="8.5703125" style="111" customWidth="1"/>
    <col min="1796" max="1796" width="10.85546875" style="111" customWidth="1"/>
    <col min="1797" max="1797" width="8.85546875" style="111" customWidth="1"/>
    <col min="1798" max="1798" width="13.85546875" style="111" customWidth="1"/>
    <col min="1799" max="1799" width="11" style="111" customWidth="1"/>
    <col min="1800" max="1801" width="12.28515625" style="111" customWidth="1"/>
    <col min="1802" max="1802" width="6.42578125" style="111" customWidth="1"/>
    <col min="1803" max="1803" width="9.140625" style="111" customWidth="1"/>
    <col min="1804" max="1804" width="6.85546875" style="111" customWidth="1"/>
    <col min="1805" max="1805" width="10.42578125" style="111" customWidth="1"/>
    <col min="1806" max="1806" width="10" style="111" customWidth="1"/>
    <col min="1807" max="1807" width="6.7109375" style="111" bestFit="1" customWidth="1"/>
    <col min="1808" max="1808" width="9.140625" style="111" customWidth="1"/>
    <col min="1809" max="2048" width="9.140625" style="111"/>
    <col min="2049" max="2049" width="82" style="111" customWidth="1"/>
    <col min="2050" max="2050" width="10.7109375" style="111" customWidth="1"/>
    <col min="2051" max="2051" width="8.5703125" style="111" customWidth="1"/>
    <col min="2052" max="2052" width="10.85546875" style="111" customWidth="1"/>
    <col min="2053" max="2053" width="8.85546875" style="111" customWidth="1"/>
    <col min="2054" max="2054" width="13.85546875" style="111" customWidth="1"/>
    <col min="2055" max="2055" width="11" style="111" customWidth="1"/>
    <col min="2056" max="2057" width="12.28515625" style="111" customWidth="1"/>
    <col min="2058" max="2058" width="6.42578125" style="111" customWidth="1"/>
    <col min="2059" max="2059" width="9.140625" style="111" customWidth="1"/>
    <col min="2060" max="2060" width="6.85546875" style="111" customWidth="1"/>
    <col min="2061" max="2061" width="10.42578125" style="111" customWidth="1"/>
    <col min="2062" max="2062" width="10" style="111" customWidth="1"/>
    <col min="2063" max="2063" width="6.7109375" style="111" bestFit="1" customWidth="1"/>
    <col min="2064" max="2064" width="9.140625" style="111" customWidth="1"/>
    <col min="2065" max="2304" width="9.140625" style="111"/>
    <col min="2305" max="2305" width="82" style="111" customWidth="1"/>
    <col min="2306" max="2306" width="10.7109375" style="111" customWidth="1"/>
    <col min="2307" max="2307" width="8.5703125" style="111" customWidth="1"/>
    <col min="2308" max="2308" width="10.85546875" style="111" customWidth="1"/>
    <col min="2309" max="2309" width="8.85546875" style="111" customWidth="1"/>
    <col min="2310" max="2310" width="13.85546875" style="111" customWidth="1"/>
    <col min="2311" max="2311" width="11" style="111" customWidth="1"/>
    <col min="2312" max="2313" width="12.28515625" style="111" customWidth="1"/>
    <col min="2314" max="2314" width="6.42578125" style="111" customWidth="1"/>
    <col min="2315" max="2315" width="9.140625" style="111" customWidth="1"/>
    <col min="2316" max="2316" width="6.85546875" style="111" customWidth="1"/>
    <col min="2317" max="2317" width="10.42578125" style="111" customWidth="1"/>
    <col min="2318" max="2318" width="10" style="111" customWidth="1"/>
    <col min="2319" max="2319" width="6.7109375" style="111" bestFit="1" customWidth="1"/>
    <col min="2320" max="2320" width="9.140625" style="111" customWidth="1"/>
    <col min="2321" max="2560" width="9.140625" style="111"/>
    <col min="2561" max="2561" width="82" style="111" customWidth="1"/>
    <col min="2562" max="2562" width="10.7109375" style="111" customWidth="1"/>
    <col min="2563" max="2563" width="8.5703125" style="111" customWidth="1"/>
    <col min="2564" max="2564" width="10.85546875" style="111" customWidth="1"/>
    <col min="2565" max="2565" width="8.85546875" style="111" customWidth="1"/>
    <col min="2566" max="2566" width="13.85546875" style="111" customWidth="1"/>
    <col min="2567" max="2567" width="11" style="111" customWidth="1"/>
    <col min="2568" max="2569" width="12.28515625" style="111" customWidth="1"/>
    <col min="2570" max="2570" width="6.42578125" style="111" customWidth="1"/>
    <col min="2571" max="2571" width="9.140625" style="111" customWidth="1"/>
    <col min="2572" max="2572" width="6.85546875" style="111" customWidth="1"/>
    <col min="2573" max="2573" width="10.42578125" style="111" customWidth="1"/>
    <col min="2574" max="2574" width="10" style="111" customWidth="1"/>
    <col min="2575" max="2575" width="6.7109375" style="111" bestFit="1" customWidth="1"/>
    <col min="2576" max="2576" width="9.140625" style="111" customWidth="1"/>
    <col min="2577" max="2816" width="9.140625" style="111"/>
    <col min="2817" max="2817" width="82" style="111" customWidth="1"/>
    <col min="2818" max="2818" width="10.7109375" style="111" customWidth="1"/>
    <col min="2819" max="2819" width="8.5703125" style="111" customWidth="1"/>
    <col min="2820" max="2820" width="10.85546875" style="111" customWidth="1"/>
    <col min="2821" max="2821" width="8.85546875" style="111" customWidth="1"/>
    <col min="2822" max="2822" width="13.85546875" style="111" customWidth="1"/>
    <col min="2823" max="2823" width="11" style="111" customWidth="1"/>
    <col min="2824" max="2825" width="12.28515625" style="111" customWidth="1"/>
    <col min="2826" max="2826" width="6.42578125" style="111" customWidth="1"/>
    <col min="2827" max="2827" width="9.140625" style="111" customWidth="1"/>
    <col min="2828" max="2828" width="6.85546875" style="111" customWidth="1"/>
    <col min="2829" max="2829" width="10.42578125" style="111" customWidth="1"/>
    <col min="2830" max="2830" width="10" style="111" customWidth="1"/>
    <col min="2831" max="2831" width="6.7109375" style="111" bestFit="1" customWidth="1"/>
    <col min="2832" max="2832" width="9.140625" style="111" customWidth="1"/>
    <col min="2833" max="3072" width="9.140625" style="111"/>
    <col min="3073" max="3073" width="82" style="111" customWidth="1"/>
    <col min="3074" max="3074" width="10.7109375" style="111" customWidth="1"/>
    <col min="3075" max="3075" width="8.5703125" style="111" customWidth="1"/>
    <col min="3076" max="3076" width="10.85546875" style="111" customWidth="1"/>
    <col min="3077" max="3077" width="8.85546875" style="111" customWidth="1"/>
    <col min="3078" max="3078" width="13.85546875" style="111" customWidth="1"/>
    <col min="3079" max="3079" width="11" style="111" customWidth="1"/>
    <col min="3080" max="3081" width="12.28515625" style="111" customWidth="1"/>
    <col min="3082" max="3082" width="6.42578125" style="111" customWidth="1"/>
    <col min="3083" max="3083" width="9.140625" style="111" customWidth="1"/>
    <col min="3084" max="3084" width="6.85546875" style="111" customWidth="1"/>
    <col min="3085" max="3085" width="10.42578125" style="111" customWidth="1"/>
    <col min="3086" max="3086" width="10" style="111" customWidth="1"/>
    <col min="3087" max="3087" width="6.7109375" style="111" bestFit="1" customWidth="1"/>
    <col min="3088" max="3088" width="9.140625" style="111" customWidth="1"/>
    <col min="3089" max="3328" width="9.140625" style="111"/>
    <col min="3329" max="3329" width="82" style="111" customWidth="1"/>
    <col min="3330" max="3330" width="10.7109375" style="111" customWidth="1"/>
    <col min="3331" max="3331" width="8.5703125" style="111" customWidth="1"/>
    <col min="3332" max="3332" width="10.85546875" style="111" customWidth="1"/>
    <col min="3333" max="3333" width="8.85546875" style="111" customWidth="1"/>
    <col min="3334" max="3334" width="13.85546875" style="111" customWidth="1"/>
    <col min="3335" max="3335" width="11" style="111" customWidth="1"/>
    <col min="3336" max="3337" width="12.28515625" style="111" customWidth="1"/>
    <col min="3338" max="3338" width="6.42578125" style="111" customWidth="1"/>
    <col min="3339" max="3339" width="9.140625" style="111" customWidth="1"/>
    <col min="3340" max="3340" width="6.85546875" style="111" customWidth="1"/>
    <col min="3341" max="3341" width="10.42578125" style="111" customWidth="1"/>
    <col min="3342" max="3342" width="10" style="111" customWidth="1"/>
    <col min="3343" max="3343" width="6.7109375" style="111" bestFit="1" customWidth="1"/>
    <col min="3344" max="3344" width="9.140625" style="111" customWidth="1"/>
    <col min="3345" max="3584" width="9.140625" style="111"/>
    <col min="3585" max="3585" width="82" style="111" customWidth="1"/>
    <col min="3586" max="3586" width="10.7109375" style="111" customWidth="1"/>
    <col min="3587" max="3587" width="8.5703125" style="111" customWidth="1"/>
    <col min="3588" max="3588" width="10.85546875" style="111" customWidth="1"/>
    <col min="3589" max="3589" width="8.85546875" style="111" customWidth="1"/>
    <col min="3590" max="3590" width="13.85546875" style="111" customWidth="1"/>
    <col min="3591" max="3591" width="11" style="111" customWidth="1"/>
    <col min="3592" max="3593" width="12.28515625" style="111" customWidth="1"/>
    <col min="3594" max="3594" width="6.42578125" style="111" customWidth="1"/>
    <col min="3595" max="3595" width="9.140625" style="111" customWidth="1"/>
    <col min="3596" max="3596" width="6.85546875" style="111" customWidth="1"/>
    <col min="3597" max="3597" width="10.42578125" style="111" customWidth="1"/>
    <col min="3598" max="3598" width="10" style="111" customWidth="1"/>
    <col min="3599" max="3599" width="6.7109375" style="111" bestFit="1" customWidth="1"/>
    <col min="3600" max="3600" width="9.140625" style="111" customWidth="1"/>
    <col min="3601" max="3840" width="9.140625" style="111"/>
    <col min="3841" max="3841" width="82" style="111" customWidth="1"/>
    <col min="3842" max="3842" width="10.7109375" style="111" customWidth="1"/>
    <col min="3843" max="3843" width="8.5703125" style="111" customWidth="1"/>
    <col min="3844" max="3844" width="10.85546875" style="111" customWidth="1"/>
    <col min="3845" max="3845" width="8.85546875" style="111" customWidth="1"/>
    <col min="3846" max="3846" width="13.85546875" style="111" customWidth="1"/>
    <col min="3847" max="3847" width="11" style="111" customWidth="1"/>
    <col min="3848" max="3849" width="12.28515625" style="111" customWidth="1"/>
    <col min="3850" max="3850" width="6.42578125" style="111" customWidth="1"/>
    <col min="3851" max="3851" width="9.140625" style="111" customWidth="1"/>
    <col min="3852" max="3852" width="6.85546875" style="111" customWidth="1"/>
    <col min="3853" max="3853" width="10.42578125" style="111" customWidth="1"/>
    <col min="3854" max="3854" width="10" style="111" customWidth="1"/>
    <col min="3855" max="3855" width="6.7109375" style="111" bestFit="1" customWidth="1"/>
    <col min="3856" max="3856" width="9.140625" style="111" customWidth="1"/>
    <col min="3857" max="4096" width="9.140625" style="111"/>
    <col min="4097" max="4097" width="82" style="111" customWidth="1"/>
    <col min="4098" max="4098" width="10.7109375" style="111" customWidth="1"/>
    <col min="4099" max="4099" width="8.5703125" style="111" customWidth="1"/>
    <col min="4100" max="4100" width="10.85546875" style="111" customWidth="1"/>
    <col min="4101" max="4101" width="8.85546875" style="111" customWidth="1"/>
    <col min="4102" max="4102" width="13.85546875" style="111" customWidth="1"/>
    <col min="4103" max="4103" width="11" style="111" customWidth="1"/>
    <col min="4104" max="4105" width="12.28515625" style="111" customWidth="1"/>
    <col min="4106" max="4106" width="6.42578125" style="111" customWidth="1"/>
    <col min="4107" max="4107" width="9.140625" style="111" customWidth="1"/>
    <col min="4108" max="4108" width="6.85546875" style="111" customWidth="1"/>
    <col min="4109" max="4109" width="10.42578125" style="111" customWidth="1"/>
    <col min="4110" max="4110" width="10" style="111" customWidth="1"/>
    <col min="4111" max="4111" width="6.7109375" style="111" bestFit="1" customWidth="1"/>
    <col min="4112" max="4112" width="9.140625" style="111" customWidth="1"/>
    <col min="4113" max="4352" width="9.140625" style="111"/>
    <col min="4353" max="4353" width="82" style="111" customWidth="1"/>
    <col min="4354" max="4354" width="10.7109375" style="111" customWidth="1"/>
    <col min="4355" max="4355" width="8.5703125" style="111" customWidth="1"/>
    <col min="4356" max="4356" width="10.85546875" style="111" customWidth="1"/>
    <col min="4357" max="4357" width="8.85546875" style="111" customWidth="1"/>
    <col min="4358" max="4358" width="13.85546875" style="111" customWidth="1"/>
    <col min="4359" max="4359" width="11" style="111" customWidth="1"/>
    <col min="4360" max="4361" width="12.28515625" style="111" customWidth="1"/>
    <col min="4362" max="4362" width="6.42578125" style="111" customWidth="1"/>
    <col min="4363" max="4363" width="9.140625" style="111" customWidth="1"/>
    <col min="4364" max="4364" width="6.85546875" style="111" customWidth="1"/>
    <col min="4365" max="4365" width="10.42578125" style="111" customWidth="1"/>
    <col min="4366" max="4366" width="10" style="111" customWidth="1"/>
    <col min="4367" max="4367" width="6.7109375" style="111" bestFit="1" customWidth="1"/>
    <col min="4368" max="4368" width="9.140625" style="111" customWidth="1"/>
    <col min="4369" max="4608" width="9.140625" style="111"/>
    <col min="4609" max="4609" width="82" style="111" customWidth="1"/>
    <col min="4610" max="4610" width="10.7109375" style="111" customWidth="1"/>
    <col min="4611" max="4611" width="8.5703125" style="111" customWidth="1"/>
    <col min="4612" max="4612" width="10.85546875" style="111" customWidth="1"/>
    <col min="4613" max="4613" width="8.85546875" style="111" customWidth="1"/>
    <col min="4614" max="4614" width="13.85546875" style="111" customWidth="1"/>
    <col min="4615" max="4615" width="11" style="111" customWidth="1"/>
    <col min="4616" max="4617" width="12.28515625" style="111" customWidth="1"/>
    <col min="4618" max="4618" width="6.42578125" style="111" customWidth="1"/>
    <col min="4619" max="4619" width="9.140625" style="111" customWidth="1"/>
    <col min="4620" max="4620" width="6.85546875" style="111" customWidth="1"/>
    <col min="4621" max="4621" width="10.42578125" style="111" customWidth="1"/>
    <col min="4622" max="4622" width="10" style="111" customWidth="1"/>
    <col min="4623" max="4623" width="6.7109375" style="111" bestFit="1" customWidth="1"/>
    <col min="4624" max="4624" width="9.140625" style="111" customWidth="1"/>
    <col min="4625" max="4864" width="9.140625" style="111"/>
    <col min="4865" max="4865" width="82" style="111" customWidth="1"/>
    <col min="4866" max="4866" width="10.7109375" style="111" customWidth="1"/>
    <col min="4867" max="4867" width="8.5703125" style="111" customWidth="1"/>
    <col min="4868" max="4868" width="10.85546875" style="111" customWidth="1"/>
    <col min="4869" max="4869" width="8.85546875" style="111" customWidth="1"/>
    <col min="4870" max="4870" width="13.85546875" style="111" customWidth="1"/>
    <col min="4871" max="4871" width="11" style="111" customWidth="1"/>
    <col min="4872" max="4873" width="12.28515625" style="111" customWidth="1"/>
    <col min="4874" max="4874" width="6.42578125" style="111" customWidth="1"/>
    <col min="4875" max="4875" width="9.140625" style="111" customWidth="1"/>
    <col min="4876" max="4876" width="6.85546875" style="111" customWidth="1"/>
    <col min="4877" max="4877" width="10.42578125" style="111" customWidth="1"/>
    <col min="4878" max="4878" width="10" style="111" customWidth="1"/>
    <col min="4879" max="4879" width="6.7109375" style="111" bestFit="1" customWidth="1"/>
    <col min="4880" max="4880" width="9.140625" style="111" customWidth="1"/>
    <col min="4881" max="5120" width="9.140625" style="111"/>
    <col min="5121" max="5121" width="82" style="111" customWidth="1"/>
    <col min="5122" max="5122" width="10.7109375" style="111" customWidth="1"/>
    <col min="5123" max="5123" width="8.5703125" style="111" customWidth="1"/>
    <col min="5124" max="5124" width="10.85546875" style="111" customWidth="1"/>
    <col min="5125" max="5125" width="8.85546875" style="111" customWidth="1"/>
    <col min="5126" max="5126" width="13.85546875" style="111" customWidth="1"/>
    <col min="5127" max="5127" width="11" style="111" customWidth="1"/>
    <col min="5128" max="5129" width="12.28515625" style="111" customWidth="1"/>
    <col min="5130" max="5130" width="6.42578125" style="111" customWidth="1"/>
    <col min="5131" max="5131" width="9.140625" style="111" customWidth="1"/>
    <col min="5132" max="5132" width="6.85546875" style="111" customWidth="1"/>
    <col min="5133" max="5133" width="10.42578125" style="111" customWidth="1"/>
    <col min="5134" max="5134" width="10" style="111" customWidth="1"/>
    <col min="5135" max="5135" width="6.7109375" style="111" bestFit="1" customWidth="1"/>
    <col min="5136" max="5136" width="9.140625" style="111" customWidth="1"/>
    <col min="5137" max="5376" width="9.140625" style="111"/>
    <col min="5377" max="5377" width="82" style="111" customWidth="1"/>
    <col min="5378" max="5378" width="10.7109375" style="111" customWidth="1"/>
    <col min="5379" max="5379" width="8.5703125" style="111" customWidth="1"/>
    <col min="5380" max="5380" width="10.85546875" style="111" customWidth="1"/>
    <col min="5381" max="5381" width="8.85546875" style="111" customWidth="1"/>
    <col min="5382" max="5382" width="13.85546875" style="111" customWidth="1"/>
    <col min="5383" max="5383" width="11" style="111" customWidth="1"/>
    <col min="5384" max="5385" width="12.28515625" style="111" customWidth="1"/>
    <col min="5386" max="5386" width="6.42578125" style="111" customWidth="1"/>
    <col min="5387" max="5387" width="9.140625" style="111" customWidth="1"/>
    <col min="5388" max="5388" width="6.85546875" style="111" customWidth="1"/>
    <col min="5389" max="5389" width="10.42578125" style="111" customWidth="1"/>
    <col min="5390" max="5390" width="10" style="111" customWidth="1"/>
    <col min="5391" max="5391" width="6.7109375" style="111" bestFit="1" customWidth="1"/>
    <col min="5392" max="5392" width="9.140625" style="111" customWidth="1"/>
    <col min="5393" max="5632" width="9.140625" style="111"/>
    <col min="5633" max="5633" width="82" style="111" customWidth="1"/>
    <col min="5634" max="5634" width="10.7109375" style="111" customWidth="1"/>
    <col min="5635" max="5635" width="8.5703125" style="111" customWidth="1"/>
    <col min="5636" max="5636" width="10.85546875" style="111" customWidth="1"/>
    <col min="5637" max="5637" width="8.85546875" style="111" customWidth="1"/>
    <col min="5638" max="5638" width="13.85546875" style="111" customWidth="1"/>
    <col min="5639" max="5639" width="11" style="111" customWidth="1"/>
    <col min="5640" max="5641" width="12.28515625" style="111" customWidth="1"/>
    <col min="5642" max="5642" width="6.42578125" style="111" customWidth="1"/>
    <col min="5643" max="5643" width="9.140625" style="111" customWidth="1"/>
    <col min="5644" max="5644" width="6.85546875" style="111" customWidth="1"/>
    <col min="5645" max="5645" width="10.42578125" style="111" customWidth="1"/>
    <col min="5646" max="5646" width="10" style="111" customWidth="1"/>
    <col min="5647" max="5647" width="6.7109375" style="111" bestFit="1" customWidth="1"/>
    <col min="5648" max="5648" width="9.140625" style="111" customWidth="1"/>
    <col min="5649" max="5888" width="9.140625" style="111"/>
    <col min="5889" max="5889" width="82" style="111" customWidth="1"/>
    <col min="5890" max="5890" width="10.7109375" style="111" customWidth="1"/>
    <col min="5891" max="5891" width="8.5703125" style="111" customWidth="1"/>
    <col min="5892" max="5892" width="10.85546875" style="111" customWidth="1"/>
    <col min="5893" max="5893" width="8.85546875" style="111" customWidth="1"/>
    <col min="5894" max="5894" width="13.85546875" style="111" customWidth="1"/>
    <col min="5895" max="5895" width="11" style="111" customWidth="1"/>
    <col min="5896" max="5897" width="12.28515625" style="111" customWidth="1"/>
    <col min="5898" max="5898" width="6.42578125" style="111" customWidth="1"/>
    <col min="5899" max="5899" width="9.140625" style="111" customWidth="1"/>
    <col min="5900" max="5900" width="6.85546875" style="111" customWidth="1"/>
    <col min="5901" max="5901" width="10.42578125" style="111" customWidth="1"/>
    <col min="5902" max="5902" width="10" style="111" customWidth="1"/>
    <col min="5903" max="5903" width="6.7109375" style="111" bestFit="1" customWidth="1"/>
    <col min="5904" max="5904" width="9.140625" style="111" customWidth="1"/>
    <col min="5905" max="6144" width="9.140625" style="111"/>
    <col min="6145" max="6145" width="82" style="111" customWidth="1"/>
    <col min="6146" max="6146" width="10.7109375" style="111" customWidth="1"/>
    <col min="6147" max="6147" width="8.5703125" style="111" customWidth="1"/>
    <col min="6148" max="6148" width="10.85546875" style="111" customWidth="1"/>
    <col min="6149" max="6149" width="8.85546875" style="111" customWidth="1"/>
    <col min="6150" max="6150" width="13.85546875" style="111" customWidth="1"/>
    <col min="6151" max="6151" width="11" style="111" customWidth="1"/>
    <col min="6152" max="6153" width="12.28515625" style="111" customWidth="1"/>
    <col min="6154" max="6154" width="6.42578125" style="111" customWidth="1"/>
    <col min="6155" max="6155" width="9.140625" style="111" customWidth="1"/>
    <col min="6156" max="6156" width="6.85546875" style="111" customWidth="1"/>
    <col min="6157" max="6157" width="10.42578125" style="111" customWidth="1"/>
    <col min="6158" max="6158" width="10" style="111" customWidth="1"/>
    <col min="6159" max="6159" width="6.7109375" style="111" bestFit="1" customWidth="1"/>
    <col min="6160" max="6160" width="9.140625" style="111" customWidth="1"/>
    <col min="6161" max="6400" width="9.140625" style="111"/>
    <col min="6401" max="6401" width="82" style="111" customWidth="1"/>
    <col min="6402" max="6402" width="10.7109375" style="111" customWidth="1"/>
    <col min="6403" max="6403" width="8.5703125" style="111" customWidth="1"/>
    <col min="6404" max="6404" width="10.85546875" style="111" customWidth="1"/>
    <col min="6405" max="6405" width="8.85546875" style="111" customWidth="1"/>
    <col min="6406" max="6406" width="13.85546875" style="111" customWidth="1"/>
    <col min="6407" max="6407" width="11" style="111" customWidth="1"/>
    <col min="6408" max="6409" width="12.28515625" style="111" customWidth="1"/>
    <col min="6410" max="6410" width="6.42578125" style="111" customWidth="1"/>
    <col min="6411" max="6411" width="9.140625" style="111" customWidth="1"/>
    <col min="6412" max="6412" width="6.85546875" style="111" customWidth="1"/>
    <col min="6413" max="6413" width="10.42578125" style="111" customWidth="1"/>
    <col min="6414" max="6414" width="10" style="111" customWidth="1"/>
    <col min="6415" max="6415" width="6.7109375" style="111" bestFit="1" customWidth="1"/>
    <col min="6416" max="6416" width="9.140625" style="111" customWidth="1"/>
    <col min="6417" max="6656" width="9.140625" style="111"/>
    <col min="6657" max="6657" width="82" style="111" customWidth="1"/>
    <col min="6658" max="6658" width="10.7109375" style="111" customWidth="1"/>
    <col min="6659" max="6659" width="8.5703125" style="111" customWidth="1"/>
    <col min="6660" max="6660" width="10.85546875" style="111" customWidth="1"/>
    <col min="6661" max="6661" width="8.85546875" style="111" customWidth="1"/>
    <col min="6662" max="6662" width="13.85546875" style="111" customWidth="1"/>
    <col min="6663" max="6663" width="11" style="111" customWidth="1"/>
    <col min="6664" max="6665" width="12.28515625" style="111" customWidth="1"/>
    <col min="6666" max="6666" width="6.42578125" style="111" customWidth="1"/>
    <col min="6667" max="6667" width="9.140625" style="111" customWidth="1"/>
    <col min="6668" max="6668" width="6.85546875" style="111" customWidth="1"/>
    <col min="6669" max="6669" width="10.42578125" style="111" customWidth="1"/>
    <col min="6670" max="6670" width="10" style="111" customWidth="1"/>
    <col min="6671" max="6671" width="6.7109375" style="111" bestFit="1" customWidth="1"/>
    <col min="6672" max="6672" width="9.140625" style="111" customWidth="1"/>
    <col min="6673" max="6912" width="9.140625" style="111"/>
    <col min="6913" max="6913" width="82" style="111" customWidth="1"/>
    <col min="6914" max="6914" width="10.7109375" style="111" customWidth="1"/>
    <col min="6915" max="6915" width="8.5703125" style="111" customWidth="1"/>
    <col min="6916" max="6916" width="10.85546875" style="111" customWidth="1"/>
    <col min="6917" max="6917" width="8.85546875" style="111" customWidth="1"/>
    <col min="6918" max="6918" width="13.85546875" style="111" customWidth="1"/>
    <col min="6919" max="6919" width="11" style="111" customWidth="1"/>
    <col min="6920" max="6921" width="12.28515625" style="111" customWidth="1"/>
    <col min="6922" max="6922" width="6.42578125" style="111" customWidth="1"/>
    <col min="6923" max="6923" width="9.140625" style="111" customWidth="1"/>
    <col min="6924" max="6924" width="6.85546875" style="111" customWidth="1"/>
    <col min="6925" max="6925" width="10.42578125" style="111" customWidth="1"/>
    <col min="6926" max="6926" width="10" style="111" customWidth="1"/>
    <col min="6927" max="6927" width="6.7109375" style="111" bestFit="1" customWidth="1"/>
    <col min="6928" max="6928" width="9.140625" style="111" customWidth="1"/>
    <col min="6929" max="7168" width="9.140625" style="111"/>
    <col min="7169" max="7169" width="82" style="111" customWidth="1"/>
    <col min="7170" max="7170" width="10.7109375" style="111" customWidth="1"/>
    <col min="7171" max="7171" width="8.5703125" style="111" customWidth="1"/>
    <col min="7172" max="7172" width="10.85546875" style="111" customWidth="1"/>
    <col min="7173" max="7173" width="8.85546875" style="111" customWidth="1"/>
    <col min="7174" max="7174" width="13.85546875" style="111" customWidth="1"/>
    <col min="7175" max="7175" width="11" style="111" customWidth="1"/>
    <col min="7176" max="7177" width="12.28515625" style="111" customWidth="1"/>
    <col min="7178" max="7178" width="6.42578125" style="111" customWidth="1"/>
    <col min="7179" max="7179" width="9.140625" style="111" customWidth="1"/>
    <col min="7180" max="7180" width="6.85546875" style="111" customWidth="1"/>
    <col min="7181" max="7181" width="10.42578125" style="111" customWidth="1"/>
    <col min="7182" max="7182" width="10" style="111" customWidth="1"/>
    <col min="7183" max="7183" width="6.7109375" style="111" bestFit="1" customWidth="1"/>
    <col min="7184" max="7184" width="9.140625" style="111" customWidth="1"/>
    <col min="7185" max="7424" width="9.140625" style="111"/>
    <col min="7425" max="7425" width="82" style="111" customWidth="1"/>
    <col min="7426" max="7426" width="10.7109375" style="111" customWidth="1"/>
    <col min="7427" max="7427" width="8.5703125" style="111" customWidth="1"/>
    <col min="7428" max="7428" width="10.85546875" style="111" customWidth="1"/>
    <col min="7429" max="7429" width="8.85546875" style="111" customWidth="1"/>
    <col min="7430" max="7430" width="13.85546875" style="111" customWidth="1"/>
    <col min="7431" max="7431" width="11" style="111" customWidth="1"/>
    <col min="7432" max="7433" width="12.28515625" style="111" customWidth="1"/>
    <col min="7434" max="7434" width="6.42578125" style="111" customWidth="1"/>
    <col min="7435" max="7435" width="9.140625" style="111" customWidth="1"/>
    <col min="7436" max="7436" width="6.85546875" style="111" customWidth="1"/>
    <col min="7437" max="7437" width="10.42578125" style="111" customWidth="1"/>
    <col min="7438" max="7438" width="10" style="111" customWidth="1"/>
    <col min="7439" max="7439" width="6.7109375" style="111" bestFit="1" customWidth="1"/>
    <col min="7440" max="7440" width="9.140625" style="111" customWidth="1"/>
    <col min="7441" max="7680" width="9.140625" style="111"/>
    <col min="7681" max="7681" width="82" style="111" customWidth="1"/>
    <col min="7682" max="7682" width="10.7109375" style="111" customWidth="1"/>
    <col min="7683" max="7683" width="8.5703125" style="111" customWidth="1"/>
    <col min="7684" max="7684" width="10.85546875" style="111" customWidth="1"/>
    <col min="7685" max="7685" width="8.85546875" style="111" customWidth="1"/>
    <col min="7686" max="7686" width="13.85546875" style="111" customWidth="1"/>
    <col min="7687" max="7687" width="11" style="111" customWidth="1"/>
    <col min="7688" max="7689" width="12.28515625" style="111" customWidth="1"/>
    <col min="7690" max="7690" width="6.42578125" style="111" customWidth="1"/>
    <col min="7691" max="7691" width="9.140625" style="111" customWidth="1"/>
    <col min="7692" max="7692" width="6.85546875" style="111" customWidth="1"/>
    <col min="7693" max="7693" width="10.42578125" style="111" customWidth="1"/>
    <col min="7694" max="7694" width="10" style="111" customWidth="1"/>
    <col min="7695" max="7695" width="6.7109375" style="111" bestFit="1" customWidth="1"/>
    <col min="7696" max="7696" width="9.140625" style="111" customWidth="1"/>
    <col min="7697" max="7936" width="9.140625" style="111"/>
    <col min="7937" max="7937" width="82" style="111" customWidth="1"/>
    <col min="7938" max="7938" width="10.7109375" style="111" customWidth="1"/>
    <col min="7939" max="7939" width="8.5703125" style="111" customWidth="1"/>
    <col min="7940" max="7940" width="10.85546875" style="111" customWidth="1"/>
    <col min="7941" max="7941" width="8.85546875" style="111" customWidth="1"/>
    <col min="7942" max="7942" width="13.85546875" style="111" customWidth="1"/>
    <col min="7943" max="7943" width="11" style="111" customWidth="1"/>
    <col min="7944" max="7945" width="12.28515625" style="111" customWidth="1"/>
    <col min="7946" max="7946" width="6.42578125" style="111" customWidth="1"/>
    <col min="7947" max="7947" width="9.140625" style="111" customWidth="1"/>
    <col min="7948" max="7948" width="6.85546875" style="111" customWidth="1"/>
    <col min="7949" max="7949" width="10.42578125" style="111" customWidth="1"/>
    <col min="7950" max="7950" width="10" style="111" customWidth="1"/>
    <col min="7951" max="7951" width="6.7109375" style="111" bestFit="1" customWidth="1"/>
    <col min="7952" max="7952" width="9.140625" style="111" customWidth="1"/>
    <col min="7953" max="8192" width="9.140625" style="111"/>
    <col min="8193" max="8193" width="82" style="111" customWidth="1"/>
    <col min="8194" max="8194" width="10.7109375" style="111" customWidth="1"/>
    <col min="8195" max="8195" width="8.5703125" style="111" customWidth="1"/>
    <col min="8196" max="8196" width="10.85546875" style="111" customWidth="1"/>
    <col min="8197" max="8197" width="8.85546875" style="111" customWidth="1"/>
    <col min="8198" max="8198" width="13.85546875" style="111" customWidth="1"/>
    <col min="8199" max="8199" width="11" style="111" customWidth="1"/>
    <col min="8200" max="8201" width="12.28515625" style="111" customWidth="1"/>
    <col min="8202" max="8202" width="6.42578125" style="111" customWidth="1"/>
    <col min="8203" max="8203" width="9.140625" style="111" customWidth="1"/>
    <col min="8204" max="8204" width="6.85546875" style="111" customWidth="1"/>
    <col min="8205" max="8205" width="10.42578125" style="111" customWidth="1"/>
    <col min="8206" max="8206" width="10" style="111" customWidth="1"/>
    <col min="8207" max="8207" width="6.7109375" style="111" bestFit="1" customWidth="1"/>
    <col min="8208" max="8208" width="9.140625" style="111" customWidth="1"/>
    <col min="8209" max="8448" width="9.140625" style="111"/>
    <col min="8449" max="8449" width="82" style="111" customWidth="1"/>
    <col min="8450" max="8450" width="10.7109375" style="111" customWidth="1"/>
    <col min="8451" max="8451" width="8.5703125" style="111" customWidth="1"/>
    <col min="8452" max="8452" width="10.85546875" style="111" customWidth="1"/>
    <col min="8453" max="8453" width="8.85546875" style="111" customWidth="1"/>
    <col min="8454" max="8454" width="13.85546875" style="111" customWidth="1"/>
    <col min="8455" max="8455" width="11" style="111" customWidth="1"/>
    <col min="8456" max="8457" width="12.28515625" style="111" customWidth="1"/>
    <col min="8458" max="8458" width="6.42578125" style="111" customWidth="1"/>
    <col min="8459" max="8459" width="9.140625" style="111" customWidth="1"/>
    <col min="8460" max="8460" width="6.85546875" style="111" customWidth="1"/>
    <col min="8461" max="8461" width="10.42578125" style="111" customWidth="1"/>
    <col min="8462" max="8462" width="10" style="111" customWidth="1"/>
    <col min="8463" max="8463" width="6.7109375" style="111" bestFit="1" customWidth="1"/>
    <col min="8464" max="8464" width="9.140625" style="111" customWidth="1"/>
    <col min="8465" max="8704" width="9.140625" style="111"/>
    <col min="8705" max="8705" width="82" style="111" customWidth="1"/>
    <col min="8706" max="8706" width="10.7109375" style="111" customWidth="1"/>
    <col min="8707" max="8707" width="8.5703125" style="111" customWidth="1"/>
    <col min="8708" max="8708" width="10.85546875" style="111" customWidth="1"/>
    <col min="8709" max="8709" width="8.85546875" style="111" customWidth="1"/>
    <col min="8710" max="8710" width="13.85546875" style="111" customWidth="1"/>
    <col min="8711" max="8711" width="11" style="111" customWidth="1"/>
    <col min="8712" max="8713" width="12.28515625" style="111" customWidth="1"/>
    <col min="8714" max="8714" width="6.42578125" style="111" customWidth="1"/>
    <col min="8715" max="8715" width="9.140625" style="111" customWidth="1"/>
    <col min="8716" max="8716" width="6.85546875" style="111" customWidth="1"/>
    <col min="8717" max="8717" width="10.42578125" style="111" customWidth="1"/>
    <col min="8718" max="8718" width="10" style="111" customWidth="1"/>
    <col min="8719" max="8719" width="6.7109375" style="111" bestFit="1" customWidth="1"/>
    <col min="8720" max="8720" width="9.140625" style="111" customWidth="1"/>
    <col min="8721" max="8960" width="9.140625" style="111"/>
    <col min="8961" max="8961" width="82" style="111" customWidth="1"/>
    <col min="8962" max="8962" width="10.7109375" style="111" customWidth="1"/>
    <col min="8963" max="8963" width="8.5703125" style="111" customWidth="1"/>
    <col min="8964" max="8964" width="10.85546875" style="111" customWidth="1"/>
    <col min="8965" max="8965" width="8.85546875" style="111" customWidth="1"/>
    <col min="8966" max="8966" width="13.85546875" style="111" customWidth="1"/>
    <col min="8967" max="8967" width="11" style="111" customWidth="1"/>
    <col min="8968" max="8969" width="12.28515625" style="111" customWidth="1"/>
    <col min="8970" max="8970" width="6.42578125" style="111" customWidth="1"/>
    <col min="8971" max="8971" width="9.140625" style="111" customWidth="1"/>
    <col min="8972" max="8972" width="6.85546875" style="111" customWidth="1"/>
    <col min="8973" max="8973" width="10.42578125" style="111" customWidth="1"/>
    <col min="8974" max="8974" width="10" style="111" customWidth="1"/>
    <col min="8975" max="8975" width="6.7109375" style="111" bestFit="1" customWidth="1"/>
    <col min="8976" max="8976" width="9.140625" style="111" customWidth="1"/>
    <col min="8977" max="9216" width="9.140625" style="111"/>
    <col min="9217" max="9217" width="82" style="111" customWidth="1"/>
    <col min="9218" max="9218" width="10.7109375" style="111" customWidth="1"/>
    <col min="9219" max="9219" width="8.5703125" style="111" customWidth="1"/>
    <col min="9220" max="9220" width="10.85546875" style="111" customWidth="1"/>
    <col min="9221" max="9221" width="8.85546875" style="111" customWidth="1"/>
    <col min="9222" max="9222" width="13.85546875" style="111" customWidth="1"/>
    <col min="9223" max="9223" width="11" style="111" customWidth="1"/>
    <col min="9224" max="9225" width="12.28515625" style="111" customWidth="1"/>
    <col min="9226" max="9226" width="6.42578125" style="111" customWidth="1"/>
    <col min="9227" max="9227" width="9.140625" style="111" customWidth="1"/>
    <col min="9228" max="9228" width="6.85546875" style="111" customWidth="1"/>
    <col min="9229" max="9229" width="10.42578125" style="111" customWidth="1"/>
    <col min="9230" max="9230" width="10" style="111" customWidth="1"/>
    <col min="9231" max="9231" width="6.7109375" style="111" bestFit="1" customWidth="1"/>
    <col min="9232" max="9232" width="9.140625" style="111" customWidth="1"/>
    <col min="9233" max="9472" width="9.140625" style="111"/>
    <col min="9473" max="9473" width="82" style="111" customWidth="1"/>
    <col min="9474" max="9474" width="10.7109375" style="111" customWidth="1"/>
    <col min="9475" max="9475" width="8.5703125" style="111" customWidth="1"/>
    <col min="9476" max="9476" width="10.85546875" style="111" customWidth="1"/>
    <col min="9477" max="9477" width="8.85546875" style="111" customWidth="1"/>
    <col min="9478" max="9478" width="13.85546875" style="111" customWidth="1"/>
    <col min="9479" max="9479" width="11" style="111" customWidth="1"/>
    <col min="9480" max="9481" width="12.28515625" style="111" customWidth="1"/>
    <col min="9482" max="9482" width="6.42578125" style="111" customWidth="1"/>
    <col min="9483" max="9483" width="9.140625" style="111" customWidth="1"/>
    <col min="9484" max="9484" width="6.85546875" style="111" customWidth="1"/>
    <col min="9485" max="9485" width="10.42578125" style="111" customWidth="1"/>
    <col min="9486" max="9486" width="10" style="111" customWidth="1"/>
    <col min="9487" max="9487" width="6.7109375" style="111" bestFit="1" customWidth="1"/>
    <col min="9488" max="9488" width="9.140625" style="111" customWidth="1"/>
    <col min="9489" max="9728" width="9.140625" style="111"/>
    <col min="9729" max="9729" width="82" style="111" customWidth="1"/>
    <col min="9730" max="9730" width="10.7109375" style="111" customWidth="1"/>
    <col min="9731" max="9731" width="8.5703125" style="111" customWidth="1"/>
    <col min="9732" max="9732" width="10.85546875" style="111" customWidth="1"/>
    <col min="9733" max="9733" width="8.85546875" style="111" customWidth="1"/>
    <col min="9734" max="9734" width="13.85546875" style="111" customWidth="1"/>
    <col min="9735" max="9735" width="11" style="111" customWidth="1"/>
    <col min="9736" max="9737" width="12.28515625" style="111" customWidth="1"/>
    <col min="9738" max="9738" width="6.42578125" style="111" customWidth="1"/>
    <col min="9739" max="9739" width="9.140625" style="111" customWidth="1"/>
    <col min="9740" max="9740" width="6.85546875" style="111" customWidth="1"/>
    <col min="9741" max="9741" width="10.42578125" style="111" customWidth="1"/>
    <col min="9742" max="9742" width="10" style="111" customWidth="1"/>
    <col min="9743" max="9743" width="6.7109375" style="111" bestFit="1" customWidth="1"/>
    <col min="9744" max="9744" width="9.140625" style="111" customWidth="1"/>
    <col min="9745" max="9984" width="9.140625" style="111"/>
    <col min="9985" max="9985" width="82" style="111" customWidth="1"/>
    <col min="9986" max="9986" width="10.7109375" style="111" customWidth="1"/>
    <col min="9987" max="9987" width="8.5703125" style="111" customWidth="1"/>
    <col min="9988" max="9988" width="10.85546875" style="111" customWidth="1"/>
    <col min="9989" max="9989" width="8.85546875" style="111" customWidth="1"/>
    <col min="9990" max="9990" width="13.85546875" style="111" customWidth="1"/>
    <col min="9991" max="9991" width="11" style="111" customWidth="1"/>
    <col min="9992" max="9993" width="12.28515625" style="111" customWidth="1"/>
    <col min="9994" max="9994" width="6.42578125" style="111" customWidth="1"/>
    <col min="9995" max="9995" width="9.140625" style="111" customWidth="1"/>
    <col min="9996" max="9996" width="6.85546875" style="111" customWidth="1"/>
    <col min="9997" max="9997" width="10.42578125" style="111" customWidth="1"/>
    <col min="9998" max="9998" width="10" style="111" customWidth="1"/>
    <col min="9999" max="9999" width="6.7109375" style="111" bestFit="1" customWidth="1"/>
    <col min="10000" max="10000" width="9.140625" style="111" customWidth="1"/>
    <col min="10001" max="10240" width="9.140625" style="111"/>
    <col min="10241" max="10241" width="82" style="111" customWidth="1"/>
    <col min="10242" max="10242" width="10.7109375" style="111" customWidth="1"/>
    <col min="10243" max="10243" width="8.5703125" style="111" customWidth="1"/>
    <col min="10244" max="10244" width="10.85546875" style="111" customWidth="1"/>
    <col min="10245" max="10245" width="8.85546875" style="111" customWidth="1"/>
    <col min="10246" max="10246" width="13.85546875" style="111" customWidth="1"/>
    <col min="10247" max="10247" width="11" style="111" customWidth="1"/>
    <col min="10248" max="10249" width="12.28515625" style="111" customWidth="1"/>
    <col min="10250" max="10250" width="6.42578125" style="111" customWidth="1"/>
    <col min="10251" max="10251" width="9.140625" style="111" customWidth="1"/>
    <col min="10252" max="10252" width="6.85546875" style="111" customWidth="1"/>
    <col min="10253" max="10253" width="10.42578125" style="111" customWidth="1"/>
    <col min="10254" max="10254" width="10" style="111" customWidth="1"/>
    <col min="10255" max="10255" width="6.7109375" style="111" bestFit="1" customWidth="1"/>
    <col min="10256" max="10256" width="9.140625" style="111" customWidth="1"/>
    <col min="10257" max="10496" width="9.140625" style="111"/>
    <col min="10497" max="10497" width="82" style="111" customWidth="1"/>
    <col min="10498" max="10498" width="10.7109375" style="111" customWidth="1"/>
    <col min="10499" max="10499" width="8.5703125" style="111" customWidth="1"/>
    <col min="10500" max="10500" width="10.85546875" style="111" customWidth="1"/>
    <col min="10501" max="10501" width="8.85546875" style="111" customWidth="1"/>
    <col min="10502" max="10502" width="13.85546875" style="111" customWidth="1"/>
    <col min="10503" max="10503" width="11" style="111" customWidth="1"/>
    <col min="10504" max="10505" width="12.28515625" style="111" customWidth="1"/>
    <col min="10506" max="10506" width="6.42578125" style="111" customWidth="1"/>
    <col min="10507" max="10507" width="9.140625" style="111" customWidth="1"/>
    <col min="10508" max="10508" width="6.85546875" style="111" customWidth="1"/>
    <col min="10509" max="10509" width="10.42578125" style="111" customWidth="1"/>
    <col min="10510" max="10510" width="10" style="111" customWidth="1"/>
    <col min="10511" max="10511" width="6.7109375" style="111" bestFit="1" customWidth="1"/>
    <col min="10512" max="10512" width="9.140625" style="111" customWidth="1"/>
    <col min="10513" max="10752" width="9.140625" style="111"/>
    <col min="10753" max="10753" width="82" style="111" customWidth="1"/>
    <col min="10754" max="10754" width="10.7109375" style="111" customWidth="1"/>
    <col min="10755" max="10755" width="8.5703125" style="111" customWidth="1"/>
    <col min="10756" max="10756" width="10.85546875" style="111" customWidth="1"/>
    <col min="10757" max="10757" width="8.85546875" style="111" customWidth="1"/>
    <col min="10758" max="10758" width="13.85546875" style="111" customWidth="1"/>
    <col min="10759" max="10759" width="11" style="111" customWidth="1"/>
    <col min="10760" max="10761" width="12.28515625" style="111" customWidth="1"/>
    <col min="10762" max="10762" width="6.42578125" style="111" customWidth="1"/>
    <col min="10763" max="10763" width="9.140625" style="111" customWidth="1"/>
    <col min="10764" max="10764" width="6.85546875" style="111" customWidth="1"/>
    <col min="10765" max="10765" width="10.42578125" style="111" customWidth="1"/>
    <col min="10766" max="10766" width="10" style="111" customWidth="1"/>
    <col min="10767" max="10767" width="6.7109375" style="111" bestFit="1" customWidth="1"/>
    <col min="10768" max="10768" width="9.140625" style="111" customWidth="1"/>
    <col min="10769" max="11008" width="9.140625" style="111"/>
    <col min="11009" max="11009" width="82" style="111" customWidth="1"/>
    <col min="11010" max="11010" width="10.7109375" style="111" customWidth="1"/>
    <col min="11011" max="11011" width="8.5703125" style="111" customWidth="1"/>
    <col min="11012" max="11012" width="10.85546875" style="111" customWidth="1"/>
    <col min="11013" max="11013" width="8.85546875" style="111" customWidth="1"/>
    <col min="11014" max="11014" width="13.85546875" style="111" customWidth="1"/>
    <col min="11015" max="11015" width="11" style="111" customWidth="1"/>
    <col min="11016" max="11017" width="12.28515625" style="111" customWidth="1"/>
    <col min="11018" max="11018" width="6.42578125" style="111" customWidth="1"/>
    <col min="11019" max="11019" width="9.140625" style="111" customWidth="1"/>
    <col min="11020" max="11020" width="6.85546875" style="111" customWidth="1"/>
    <col min="11021" max="11021" width="10.42578125" style="111" customWidth="1"/>
    <col min="11022" max="11022" width="10" style="111" customWidth="1"/>
    <col min="11023" max="11023" width="6.7109375" style="111" bestFit="1" customWidth="1"/>
    <col min="11024" max="11024" width="9.140625" style="111" customWidth="1"/>
    <col min="11025" max="11264" width="9.140625" style="111"/>
    <col min="11265" max="11265" width="82" style="111" customWidth="1"/>
    <col min="11266" max="11266" width="10.7109375" style="111" customWidth="1"/>
    <col min="11267" max="11267" width="8.5703125" style="111" customWidth="1"/>
    <col min="11268" max="11268" width="10.85546875" style="111" customWidth="1"/>
    <col min="11269" max="11269" width="8.85546875" style="111" customWidth="1"/>
    <col min="11270" max="11270" width="13.85546875" style="111" customWidth="1"/>
    <col min="11271" max="11271" width="11" style="111" customWidth="1"/>
    <col min="11272" max="11273" width="12.28515625" style="111" customWidth="1"/>
    <col min="11274" max="11274" width="6.42578125" style="111" customWidth="1"/>
    <col min="11275" max="11275" width="9.140625" style="111" customWidth="1"/>
    <col min="11276" max="11276" width="6.85546875" style="111" customWidth="1"/>
    <col min="11277" max="11277" width="10.42578125" style="111" customWidth="1"/>
    <col min="11278" max="11278" width="10" style="111" customWidth="1"/>
    <col min="11279" max="11279" width="6.7109375" style="111" bestFit="1" customWidth="1"/>
    <col min="11280" max="11280" width="9.140625" style="111" customWidth="1"/>
    <col min="11281" max="11520" width="9.140625" style="111"/>
    <col min="11521" max="11521" width="82" style="111" customWidth="1"/>
    <col min="11522" max="11522" width="10.7109375" style="111" customWidth="1"/>
    <col min="11523" max="11523" width="8.5703125" style="111" customWidth="1"/>
    <col min="11524" max="11524" width="10.85546875" style="111" customWidth="1"/>
    <col min="11525" max="11525" width="8.85546875" style="111" customWidth="1"/>
    <col min="11526" max="11526" width="13.85546875" style="111" customWidth="1"/>
    <col min="11527" max="11527" width="11" style="111" customWidth="1"/>
    <col min="11528" max="11529" width="12.28515625" style="111" customWidth="1"/>
    <col min="11530" max="11530" width="6.42578125" style="111" customWidth="1"/>
    <col min="11531" max="11531" width="9.140625" style="111" customWidth="1"/>
    <col min="11532" max="11532" width="6.85546875" style="111" customWidth="1"/>
    <col min="11533" max="11533" width="10.42578125" style="111" customWidth="1"/>
    <col min="11534" max="11534" width="10" style="111" customWidth="1"/>
    <col min="11535" max="11535" width="6.7109375" style="111" bestFit="1" customWidth="1"/>
    <col min="11536" max="11536" width="9.140625" style="111" customWidth="1"/>
    <col min="11537" max="11776" width="9.140625" style="111"/>
    <col min="11777" max="11777" width="82" style="111" customWidth="1"/>
    <col min="11778" max="11778" width="10.7109375" style="111" customWidth="1"/>
    <col min="11779" max="11779" width="8.5703125" style="111" customWidth="1"/>
    <col min="11780" max="11780" width="10.85546875" style="111" customWidth="1"/>
    <col min="11781" max="11781" width="8.85546875" style="111" customWidth="1"/>
    <col min="11782" max="11782" width="13.85546875" style="111" customWidth="1"/>
    <col min="11783" max="11783" width="11" style="111" customWidth="1"/>
    <col min="11784" max="11785" width="12.28515625" style="111" customWidth="1"/>
    <col min="11786" max="11786" width="6.42578125" style="111" customWidth="1"/>
    <col min="11787" max="11787" width="9.140625" style="111" customWidth="1"/>
    <col min="11788" max="11788" width="6.85546875" style="111" customWidth="1"/>
    <col min="11789" max="11789" width="10.42578125" style="111" customWidth="1"/>
    <col min="11790" max="11790" width="10" style="111" customWidth="1"/>
    <col min="11791" max="11791" width="6.7109375" style="111" bestFit="1" customWidth="1"/>
    <col min="11792" max="11792" width="9.140625" style="111" customWidth="1"/>
    <col min="11793" max="12032" width="9.140625" style="111"/>
    <col min="12033" max="12033" width="82" style="111" customWidth="1"/>
    <col min="12034" max="12034" width="10.7109375" style="111" customWidth="1"/>
    <col min="12035" max="12035" width="8.5703125" style="111" customWidth="1"/>
    <col min="12036" max="12036" width="10.85546875" style="111" customWidth="1"/>
    <col min="12037" max="12037" width="8.85546875" style="111" customWidth="1"/>
    <col min="12038" max="12038" width="13.85546875" style="111" customWidth="1"/>
    <col min="12039" max="12039" width="11" style="111" customWidth="1"/>
    <col min="12040" max="12041" width="12.28515625" style="111" customWidth="1"/>
    <col min="12042" max="12042" width="6.42578125" style="111" customWidth="1"/>
    <col min="12043" max="12043" width="9.140625" style="111" customWidth="1"/>
    <col min="12044" max="12044" width="6.85546875" style="111" customWidth="1"/>
    <col min="12045" max="12045" width="10.42578125" style="111" customWidth="1"/>
    <col min="12046" max="12046" width="10" style="111" customWidth="1"/>
    <col min="12047" max="12047" width="6.7109375" style="111" bestFit="1" customWidth="1"/>
    <col min="12048" max="12048" width="9.140625" style="111" customWidth="1"/>
    <col min="12049" max="12288" width="9.140625" style="111"/>
    <col min="12289" max="12289" width="82" style="111" customWidth="1"/>
    <col min="12290" max="12290" width="10.7109375" style="111" customWidth="1"/>
    <col min="12291" max="12291" width="8.5703125" style="111" customWidth="1"/>
    <col min="12292" max="12292" width="10.85546875" style="111" customWidth="1"/>
    <col min="12293" max="12293" width="8.85546875" style="111" customWidth="1"/>
    <col min="12294" max="12294" width="13.85546875" style="111" customWidth="1"/>
    <col min="12295" max="12295" width="11" style="111" customWidth="1"/>
    <col min="12296" max="12297" width="12.28515625" style="111" customWidth="1"/>
    <col min="12298" max="12298" width="6.42578125" style="111" customWidth="1"/>
    <col min="12299" max="12299" width="9.140625" style="111" customWidth="1"/>
    <col min="12300" max="12300" width="6.85546875" style="111" customWidth="1"/>
    <col min="12301" max="12301" width="10.42578125" style="111" customWidth="1"/>
    <col min="12302" max="12302" width="10" style="111" customWidth="1"/>
    <col min="12303" max="12303" width="6.7109375" style="111" bestFit="1" customWidth="1"/>
    <col min="12304" max="12304" width="9.140625" style="111" customWidth="1"/>
    <col min="12305" max="12544" width="9.140625" style="111"/>
    <col min="12545" max="12545" width="82" style="111" customWidth="1"/>
    <col min="12546" max="12546" width="10.7109375" style="111" customWidth="1"/>
    <col min="12547" max="12547" width="8.5703125" style="111" customWidth="1"/>
    <col min="12548" max="12548" width="10.85546875" style="111" customWidth="1"/>
    <col min="12549" max="12549" width="8.85546875" style="111" customWidth="1"/>
    <col min="12550" max="12550" width="13.85546875" style="111" customWidth="1"/>
    <col min="12551" max="12551" width="11" style="111" customWidth="1"/>
    <col min="12552" max="12553" width="12.28515625" style="111" customWidth="1"/>
    <col min="12554" max="12554" width="6.42578125" style="111" customWidth="1"/>
    <col min="12555" max="12555" width="9.140625" style="111" customWidth="1"/>
    <col min="12556" max="12556" width="6.85546875" style="111" customWidth="1"/>
    <col min="12557" max="12557" width="10.42578125" style="111" customWidth="1"/>
    <col min="12558" max="12558" width="10" style="111" customWidth="1"/>
    <col min="12559" max="12559" width="6.7109375" style="111" bestFit="1" customWidth="1"/>
    <col min="12560" max="12560" width="9.140625" style="111" customWidth="1"/>
    <col min="12561" max="12800" width="9.140625" style="111"/>
    <col min="12801" max="12801" width="82" style="111" customWidth="1"/>
    <col min="12802" max="12802" width="10.7109375" style="111" customWidth="1"/>
    <col min="12803" max="12803" width="8.5703125" style="111" customWidth="1"/>
    <col min="12804" max="12804" width="10.85546875" style="111" customWidth="1"/>
    <col min="12805" max="12805" width="8.85546875" style="111" customWidth="1"/>
    <col min="12806" max="12806" width="13.85546875" style="111" customWidth="1"/>
    <col min="12807" max="12807" width="11" style="111" customWidth="1"/>
    <col min="12808" max="12809" width="12.28515625" style="111" customWidth="1"/>
    <col min="12810" max="12810" width="6.42578125" style="111" customWidth="1"/>
    <col min="12811" max="12811" width="9.140625" style="111" customWidth="1"/>
    <col min="12812" max="12812" width="6.85546875" style="111" customWidth="1"/>
    <col min="12813" max="12813" width="10.42578125" style="111" customWidth="1"/>
    <col min="12814" max="12814" width="10" style="111" customWidth="1"/>
    <col min="12815" max="12815" width="6.7109375" style="111" bestFit="1" customWidth="1"/>
    <col min="12816" max="12816" width="9.140625" style="111" customWidth="1"/>
    <col min="12817" max="13056" width="9.140625" style="111"/>
    <col min="13057" max="13057" width="82" style="111" customWidth="1"/>
    <col min="13058" max="13058" width="10.7109375" style="111" customWidth="1"/>
    <col min="13059" max="13059" width="8.5703125" style="111" customWidth="1"/>
    <col min="13060" max="13060" width="10.85546875" style="111" customWidth="1"/>
    <col min="13061" max="13061" width="8.85546875" style="111" customWidth="1"/>
    <col min="13062" max="13062" width="13.85546875" style="111" customWidth="1"/>
    <col min="13063" max="13063" width="11" style="111" customWidth="1"/>
    <col min="13064" max="13065" width="12.28515625" style="111" customWidth="1"/>
    <col min="13066" max="13066" width="6.42578125" style="111" customWidth="1"/>
    <col min="13067" max="13067" width="9.140625" style="111" customWidth="1"/>
    <col min="13068" max="13068" width="6.85546875" style="111" customWidth="1"/>
    <col min="13069" max="13069" width="10.42578125" style="111" customWidth="1"/>
    <col min="13070" max="13070" width="10" style="111" customWidth="1"/>
    <col min="13071" max="13071" width="6.7109375" style="111" bestFit="1" customWidth="1"/>
    <col min="13072" max="13072" width="9.140625" style="111" customWidth="1"/>
    <col min="13073" max="13312" width="9.140625" style="111"/>
    <col min="13313" max="13313" width="82" style="111" customWidth="1"/>
    <col min="13314" max="13314" width="10.7109375" style="111" customWidth="1"/>
    <col min="13315" max="13315" width="8.5703125" style="111" customWidth="1"/>
    <col min="13316" max="13316" width="10.85546875" style="111" customWidth="1"/>
    <col min="13317" max="13317" width="8.85546875" style="111" customWidth="1"/>
    <col min="13318" max="13318" width="13.85546875" style="111" customWidth="1"/>
    <col min="13319" max="13319" width="11" style="111" customWidth="1"/>
    <col min="13320" max="13321" width="12.28515625" style="111" customWidth="1"/>
    <col min="13322" max="13322" width="6.42578125" style="111" customWidth="1"/>
    <col min="13323" max="13323" width="9.140625" style="111" customWidth="1"/>
    <col min="13324" max="13324" width="6.85546875" style="111" customWidth="1"/>
    <col min="13325" max="13325" width="10.42578125" style="111" customWidth="1"/>
    <col min="13326" max="13326" width="10" style="111" customWidth="1"/>
    <col min="13327" max="13327" width="6.7109375" style="111" bestFit="1" customWidth="1"/>
    <col min="13328" max="13328" width="9.140625" style="111" customWidth="1"/>
    <col min="13329" max="13568" width="9.140625" style="111"/>
    <col min="13569" max="13569" width="82" style="111" customWidth="1"/>
    <col min="13570" max="13570" width="10.7109375" style="111" customWidth="1"/>
    <col min="13571" max="13571" width="8.5703125" style="111" customWidth="1"/>
    <col min="13572" max="13572" width="10.85546875" style="111" customWidth="1"/>
    <col min="13573" max="13573" width="8.85546875" style="111" customWidth="1"/>
    <col min="13574" max="13574" width="13.85546875" style="111" customWidth="1"/>
    <col min="13575" max="13575" width="11" style="111" customWidth="1"/>
    <col min="13576" max="13577" width="12.28515625" style="111" customWidth="1"/>
    <col min="13578" max="13578" width="6.42578125" style="111" customWidth="1"/>
    <col min="13579" max="13579" width="9.140625" style="111" customWidth="1"/>
    <col min="13580" max="13580" width="6.85546875" style="111" customWidth="1"/>
    <col min="13581" max="13581" width="10.42578125" style="111" customWidth="1"/>
    <col min="13582" max="13582" width="10" style="111" customWidth="1"/>
    <col min="13583" max="13583" width="6.7109375" style="111" bestFit="1" customWidth="1"/>
    <col min="13584" max="13584" width="9.140625" style="111" customWidth="1"/>
    <col min="13585" max="13824" width="9.140625" style="111"/>
    <col min="13825" max="13825" width="82" style="111" customWidth="1"/>
    <col min="13826" max="13826" width="10.7109375" style="111" customWidth="1"/>
    <col min="13827" max="13827" width="8.5703125" style="111" customWidth="1"/>
    <col min="13828" max="13828" width="10.85546875" style="111" customWidth="1"/>
    <col min="13829" max="13829" width="8.85546875" style="111" customWidth="1"/>
    <col min="13830" max="13830" width="13.85546875" style="111" customWidth="1"/>
    <col min="13831" max="13831" width="11" style="111" customWidth="1"/>
    <col min="13832" max="13833" width="12.28515625" style="111" customWidth="1"/>
    <col min="13834" max="13834" width="6.42578125" style="111" customWidth="1"/>
    <col min="13835" max="13835" width="9.140625" style="111" customWidth="1"/>
    <col min="13836" max="13836" width="6.85546875" style="111" customWidth="1"/>
    <col min="13837" max="13837" width="10.42578125" style="111" customWidth="1"/>
    <col min="13838" max="13838" width="10" style="111" customWidth="1"/>
    <col min="13839" max="13839" width="6.7109375" style="111" bestFit="1" customWidth="1"/>
    <col min="13840" max="13840" width="9.140625" style="111" customWidth="1"/>
    <col min="13841" max="14080" width="9.140625" style="111"/>
    <col min="14081" max="14081" width="82" style="111" customWidth="1"/>
    <col min="14082" max="14082" width="10.7109375" style="111" customWidth="1"/>
    <col min="14083" max="14083" width="8.5703125" style="111" customWidth="1"/>
    <col min="14084" max="14084" width="10.85546875" style="111" customWidth="1"/>
    <col min="14085" max="14085" width="8.85546875" style="111" customWidth="1"/>
    <col min="14086" max="14086" width="13.85546875" style="111" customWidth="1"/>
    <col min="14087" max="14087" width="11" style="111" customWidth="1"/>
    <col min="14088" max="14089" width="12.28515625" style="111" customWidth="1"/>
    <col min="14090" max="14090" width="6.42578125" style="111" customWidth="1"/>
    <col min="14091" max="14091" width="9.140625" style="111" customWidth="1"/>
    <col min="14092" max="14092" width="6.85546875" style="111" customWidth="1"/>
    <col min="14093" max="14093" width="10.42578125" style="111" customWidth="1"/>
    <col min="14094" max="14094" width="10" style="111" customWidth="1"/>
    <col min="14095" max="14095" width="6.7109375" style="111" bestFit="1" customWidth="1"/>
    <col min="14096" max="14096" width="9.140625" style="111" customWidth="1"/>
    <col min="14097" max="14336" width="9.140625" style="111"/>
    <col min="14337" max="14337" width="82" style="111" customWidth="1"/>
    <col min="14338" max="14338" width="10.7109375" style="111" customWidth="1"/>
    <col min="14339" max="14339" width="8.5703125" style="111" customWidth="1"/>
    <col min="14340" max="14340" width="10.85546875" style="111" customWidth="1"/>
    <col min="14341" max="14341" width="8.85546875" style="111" customWidth="1"/>
    <col min="14342" max="14342" width="13.85546875" style="111" customWidth="1"/>
    <col min="14343" max="14343" width="11" style="111" customWidth="1"/>
    <col min="14344" max="14345" width="12.28515625" style="111" customWidth="1"/>
    <col min="14346" max="14346" width="6.42578125" style="111" customWidth="1"/>
    <col min="14347" max="14347" width="9.140625" style="111" customWidth="1"/>
    <col min="14348" max="14348" width="6.85546875" style="111" customWidth="1"/>
    <col min="14349" max="14349" width="10.42578125" style="111" customWidth="1"/>
    <col min="14350" max="14350" width="10" style="111" customWidth="1"/>
    <col min="14351" max="14351" width="6.7109375" style="111" bestFit="1" customWidth="1"/>
    <col min="14352" max="14352" width="9.140625" style="111" customWidth="1"/>
    <col min="14353" max="14592" width="9.140625" style="111"/>
    <col min="14593" max="14593" width="82" style="111" customWidth="1"/>
    <col min="14594" max="14594" width="10.7109375" style="111" customWidth="1"/>
    <col min="14595" max="14595" width="8.5703125" style="111" customWidth="1"/>
    <col min="14596" max="14596" width="10.85546875" style="111" customWidth="1"/>
    <col min="14597" max="14597" width="8.85546875" style="111" customWidth="1"/>
    <col min="14598" max="14598" width="13.85546875" style="111" customWidth="1"/>
    <col min="14599" max="14599" width="11" style="111" customWidth="1"/>
    <col min="14600" max="14601" width="12.28515625" style="111" customWidth="1"/>
    <col min="14602" max="14602" width="6.42578125" style="111" customWidth="1"/>
    <col min="14603" max="14603" width="9.140625" style="111" customWidth="1"/>
    <col min="14604" max="14604" width="6.85546875" style="111" customWidth="1"/>
    <col min="14605" max="14605" width="10.42578125" style="111" customWidth="1"/>
    <col min="14606" max="14606" width="10" style="111" customWidth="1"/>
    <col min="14607" max="14607" width="6.7109375" style="111" bestFit="1" customWidth="1"/>
    <col min="14608" max="14608" width="9.140625" style="111" customWidth="1"/>
    <col min="14609" max="14848" width="9.140625" style="111"/>
    <col min="14849" max="14849" width="82" style="111" customWidth="1"/>
    <col min="14850" max="14850" width="10.7109375" style="111" customWidth="1"/>
    <col min="14851" max="14851" width="8.5703125" style="111" customWidth="1"/>
    <col min="14852" max="14852" width="10.85546875" style="111" customWidth="1"/>
    <col min="14853" max="14853" width="8.85546875" style="111" customWidth="1"/>
    <col min="14854" max="14854" width="13.85546875" style="111" customWidth="1"/>
    <col min="14855" max="14855" width="11" style="111" customWidth="1"/>
    <col min="14856" max="14857" width="12.28515625" style="111" customWidth="1"/>
    <col min="14858" max="14858" width="6.42578125" style="111" customWidth="1"/>
    <col min="14859" max="14859" width="9.140625" style="111" customWidth="1"/>
    <col min="14860" max="14860" width="6.85546875" style="111" customWidth="1"/>
    <col min="14861" max="14861" width="10.42578125" style="111" customWidth="1"/>
    <col min="14862" max="14862" width="10" style="111" customWidth="1"/>
    <col min="14863" max="14863" width="6.7109375" style="111" bestFit="1" customWidth="1"/>
    <col min="14864" max="14864" width="9.140625" style="111" customWidth="1"/>
    <col min="14865" max="15104" width="9.140625" style="111"/>
    <col min="15105" max="15105" width="82" style="111" customWidth="1"/>
    <col min="15106" max="15106" width="10.7109375" style="111" customWidth="1"/>
    <col min="15107" max="15107" width="8.5703125" style="111" customWidth="1"/>
    <col min="15108" max="15108" width="10.85546875" style="111" customWidth="1"/>
    <col min="15109" max="15109" width="8.85546875" style="111" customWidth="1"/>
    <col min="15110" max="15110" width="13.85546875" style="111" customWidth="1"/>
    <col min="15111" max="15111" width="11" style="111" customWidth="1"/>
    <col min="15112" max="15113" width="12.28515625" style="111" customWidth="1"/>
    <col min="15114" max="15114" width="6.42578125" style="111" customWidth="1"/>
    <col min="15115" max="15115" width="9.140625" style="111" customWidth="1"/>
    <col min="15116" max="15116" width="6.85546875" style="111" customWidth="1"/>
    <col min="15117" max="15117" width="10.42578125" style="111" customWidth="1"/>
    <col min="15118" max="15118" width="10" style="111" customWidth="1"/>
    <col min="15119" max="15119" width="6.7109375" style="111" bestFit="1" customWidth="1"/>
    <col min="15120" max="15120" width="9.140625" style="111" customWidth="1"/>
    <col min="15121" max="15360" width="9.140625" style="111"/>
    <col min="15361" max="15361" width="82" style="111" customWidth="1"/>
    <col min="15362" max="15362" width="10.7109375" style="111" customWidth="1"/>
    <col min="15363" max="15363" width="8.5703125" style="111" customWidth="1"/>
    <col min="15364" max="15364" width="10.85546875" style="111" customWidth="1"/>
    <col min="15365" max="15365" width="8.85546875" style="111" customWidth="1"/>
    <col min="15366" max="15366" width="13.85546875" style="111" customWidth="1"/>
    <col min="15367" max="15367" width="11" style="111" customWidth="1"/>
    <col min="15368" max="15369" width="12.28515625" style="111" customWidth="1"/>
    <col min="15370" max="15370" width="6.42578125" style="111" customWidth="1"/>
    <col min="15371" max="15371" width="9.140625" style="111" customWidth="1"/>
    <col min="15372" max="15372" width="6.85546875" style="111" customWidth="1"/>
    <col min="15373" max="15373" width="10.42578125" style="111" customWidth="1"/>
    <col min="15374" max="15374" width="10" style="111" customWidth="1"/>
    <col min="15375" max="15375" width="6.7109375" style="111" bestFit="1" customWidth="1"/>
    <col min="15376" max="15376" width="9.140625" style="111" customWidth="1"/>
    <col min="15377" max="15616" width="9.140625" style="111"/>
    <col min="15617" max="15617" width="82" style="111" customWidth="1"/>
    <col min="15618" max="15618" width="10.7109375" style="111" customWidth="1"/>
    <col min="15619" max="15619" width="8.5703125" style="111" customWidth="1"/>
    <col min="15620" max="15620" width="10.85546875" style="111" customWidth="1"/>
    <col min="15621" max="15621" width="8.85546875" style="111" customWidth="1"/>
    <col min="15622" max="15622" width="13.85546875" style="111" customWidth="1"/>
    <col min="15623" max="15623" width="11" style="111" customWidth="1"/>
    <col min="15624" max="15625" width="12.28515625" style="111" customWidth="1"/>
    <col min="15626" max="15626" width="6.42578125" style="111" customWidth="1"/>
    <col min="15627" max="15627" width="9.140625" style="111" customWidth="1"/>
    <col min="15628" max="15628" width="6.85546875" style="111" customWidth="1"/>
    <col min="15629" max="15629" width="10.42578125" style="111" customWidth="1"/>
    <col min="15630" max="15630" width="10" style="111" customWidth="1"/>
    <col min="15631" max="15631" width="6.7109375" style="111" bestFit="1" customWidth="1"/>
    <col min="15632" max="15632" width="9.140625" style="111" customWidth="1"/>
    <col min="15633" max="15872" width="9.140625" style="111"/>
    <col min="15873" max="15873" width="82" style="111" customWidth="1"/>
    <col min="15874" max="15874" width="10.7109375" style="111" customWidth="1"/>
    <col min="15875" max="15875" width="8.5703125" style="111" customWidth="1"/>
    <col min="15876" max="15876" width="10.85546875" style="111" customWidth="1"/>
    <col min="15877" max="15877" width="8.85546875" style="111" customWidth="1"/>
    <col min="15878" max="15878" width="13.85546875" style="111" customWidth="1"/>
    <col min="15879" max="15879" width="11" style="111" customWidth="1"/>
    <col min="15880" max="15881" width="12.28515625" style="111" customWidth="1"/>
    <col min="15882" max="15882" width="6.42578125" style="111" customWidth="1"/>
    <col min="15883" max="15883" width="9.140625" style="111" customWidth="1"/>
    <col min="15884" max="15884" width="6.85546875" style="111" customWidth="1"/>
    <col min="15885" max="15885" width="10.42578125" style="111" customWidth="1"/>
    <col min="15886" max="15886" width="10" style="111" customWidth="1"/>
    <col min="15887" max="15887" width="6.7109375" style="111" bestFit="1" customWidth="1"/>
    <col min="15888" max="15888" width="9.140625" style="111" customWidth="1"/>
    <col min="15889" max="16128" width="9.140625" style="111"/>
    <col min="16129" max="16129" width="82" style="111" customWidth="1"/>
    <col min="16130" max="16130" width="10.7109375" style="111" customWidth="1"/>
    <col min="16131" max="16131" width="8.5703125" style="111" customWidth="1"/>
    <col min="16132" max="16132" width="10.85546875" style="111" customWidth="1"/>
    <col min="16133" max="16133" width="8.85546875" style="111" customWidth="1"/>
    <col min="16134" max="16134" width="13.85546875" style="111" customWidth="1"/>
    <col min="16135" max="16135" width="11" style="111" customWidth="1"/>
    <col min="16136" max="16137" width="12.28515625" style="111" customWidth="1"/>
    <col min="16138" max="16138" width="6.42578125" style="111" customWidth="1"/>
    <col min="16139" max="16139" width="9.140625" style="111" customWidth="1"/>
    <col min="16140" max="16140" width="6.85546875" style="111" customWidth="1"/>
    <col min="16141" max="16141" width="10.42578125" style="111" customWidth="1"/>
    <col min="16142" max="16142" width="10" style="111" customWidth="1"/>
    <col min="16143" max="16143" width="6.7109375" style="111" bestFit="1" customWidth="1"/>
    <col min="16144" max="16144" width="9.140625" style="111" customWidth="1"/>
    <col min="16145" max="16384" width="9.140625" style="111"/>
  </cols>
  <sheetData>
    <row r="1" spans="1:17" s="90" customFormat="1">
      <c r="A1" s="87" t="s">
        <v>18</v>
      </c>
      <c r="B1" s="88"/>
      <c r="C1" s="88"/>
      <c r="D1" s="88"/>
      <c r="E1" s="89"/>
    </row>
    <row r="2" spans="1:17" s="90" customFormat="1">
      <c r="A2" s="87" t="s">
        <v>19</v>
      </c>
      <c r="B2" s="88"/>
      <c r="C2" s="88"/>
      <c r="D2" s="88"/>
      <c r="E2" s="89"/>
    </row>
    <row r="3" spans="1:17" s="90" customFormat="1">
      <c r="A3" s="87"/>
      <c r="B3" s="88"/>
      <c r="C3" s="88"/>
      <c r="D3" s="88"/>
      <c r="E3" s="89"/>
    </row>
    <row r="4" spans="1:17" s="90" customFormat="1">
      <c r="A4" s="1077" t="s">
        <v>354</v>
      </c>
      <c r="B4" s="1077"/>
      <c r="C4" s="1077"/>
      <c r="D4" s="1077"/>
      <c r="E4" s="1077"/>
      <c r="F4" s="1077"/>
      <c r="G4" s="1077"/>
      <c r="H4" s="1077"/>
      <c r="I4" s="1077"/>
      <c r="J4" s="1077"/>
      <c r="K4" s="1077"/>
      <c r="L4" s="1077"/>
      <c r="M4" s="1077"/>
      <c r="N4" s="1077"/>
      <c r="O4" s="1077"/>
      <c r="P4" s="1077"/>
      <c r="Q4" s="1077"/>
    </row>
    <row r="5" spans="1:17" s="143" customFormat="1" ht="12" customHeight="1">
      <c r="A5" s="1078" t="s">
        <v>330</v>
      </c>
      <c r="B5" s="1080">
        <v>2013</v>
      </c>
      <c r="C5" s="1080">
        <v>2014</v>
      </c>
      <c r="D5" s="1080">
        <v>2015</v>
      </c>
      <c r="E5" s="1082">
        <v>2016</v>
      </c>
      <c r="F5" s="1082"/>
      <c r="G5" s="1082"/>
      <c r="H5" s="1082"/>
      <c r="I5" s="1082"/>
      <c r="J5" s="1082"/>
      <c r="K5" s="1082"/>
      <c r="L5" s="1082"/>
      <c r="M5" s="1082"/>
      <c r="N5" s="1082"/>
      <c r="O5" s="1082"/>
      <c r="P5" s="1082"/>
      <c r="Q5" s="1082"/>
    </row>
    <row r="6" spans="1:17" s="143" customFormat="1" ht="27" customHeight="1">
      <c r="A6" s="1079"/>
      <c r="B6" s="1081"/>
      <c r="C6" s="1081"/>
      <c r="D6" s="1081"/>
      <c r="E6" s="142" t="s">
        <v>26</v>
      </c>
      <c r="F6" s="142" t="s">
        <v>27</v>
      </c>
      <c r="G6" s="142" t="s">
        <v>28</v>
      </c>
      <c r="H6" s="142" t="s">
        <v>29</v>
      </c>
      <c r="I6" s="142" t="s">
        <v>30</v>
      </c>
      <c r="J6" s="142" t="s">
        <v>31</v>
      </c>
      <c r="K6" s="142" t="s">
        <v>32</v>
      </c>
      <c r="L6" s="142" t="s">
        <v>33</v>
      </c>
      <c r="M6" s="142" t="s">
        <v>34</v>
      </c>
      <c r="N6" s="142" t="s">
        <v>35</v>
      </c>
      <c r="O6" s="142" t="s">
        <v>36</v>
      </c>
      <c r="P6" s="142" t="s">
        <v>37</v>
      </c>
      <c r="Q6" s="142" t="s">
        <v>74</v>
      </c>
    </row>
    <row r="7" spans="1:17" s="90" customFormat="1" ht="23.25" customHeight="1">
      <c r="A7" s="86" t="s">
        <v>75</v>
      </c>
      <c r="B7" s="91"/>
      <c r="C7" s="91"/>
      <c r="D7" s="91"/>
      <c r="E7" s="92"/>
      <c r="F7" s="92"/>
      <c r="G7" s="92"/>
      <c r="H7" s="92"/>
      <c r="I7" s="92"/>
      <c r="J7" s="92"/>
      <c r="K7" s="92"/>
      <c r="L7" s="92"/>
      <c r="M7" s="92"/>
      <c r="N7" s="92"/>
      <c r="O7" s="92"/>
      <c r="P7" s="92"/>
      <c r="Q7" s="92"/>
    </row>
    <row r="8" spans="1:17" s="143" customFormat="1" ht="18" customHeight="1">
      <c r="A8" s="301" t="s">
        <v>76</v>
      </c>
      <c r="B8" s="302">
        <v>62.552</v>
      </c>
      <c r="C8" s="302">
        <v>60.022381648340001</v>
      </c>
      <c r="D8" s="303">
        <v>71532682440.759995</v>
      </c>
      <c r="E8" s="303">
        <v>84472064665.770004</v>
      </c>
      <c r="F8" s="303">
        <v>84153846895.059998</v>
      </c>
      <c r="G8" s="303">
        <v>83854919808.210007</v>
      </c>
      <c r="H8" s="304">
        <v>83559340661.380005</v>
      </c>
      <c r="I8" s="304">
        <f>I11+I12+I13+I14+I15</f>
        <v>83304906316.700012</v>
      </c>
      <c r="J8" s="304">
        <f>J11+J12+J13+J14+J15</f>
        <v>83024751203.140015</v>
      </c>
      <c r="K8" s="144"/>
      <c r="L8" s="144"/>
      <c r="M8" s="144"/>
      <c r="N8" s="144"/>
      <c r="O8" s="144"/>
      <c r="P8" s="145"/>
      <c r="Q8" s="144"/>
    </row>
    <row r="9" spans="1:17" s="143" customFormat="1" ht="19.5" customHeight="1">
      <c r="A9" s="845" t="s">
        <v>77</v>
      </c>
      <c r="B9" s="840"/>
      <c r="C9" s="840"/>
      <c r="D9" s="841"/>
      <c r="E9" s="840"/>
      <c r="F9" s="840"/>
      <c r="G9" s="840"/>
      <c r="H9" s="841"/>
      <c r="I9" s="841"/>
      <c r="J9" s="842"/>
      <c r="K9" s="842"/>
      <c r="L9" s="842"/>
      <c r="M9" s="842"/>
      <c r="N9" s="842"/>
      <c r="O9" s="842"/>
      <c r="P9" s="846"/>
      <c r="Q9" s="842"/>
    </row>
    <row r="10" spans="1:17" s="143" customFormat="1" ht="20.25" customHeight="1">
      <c r="A10" s="845" t="s">
        <v>78</v>
      </c>
      <c r="B10" s="840"/>
      <c r="C10" s="840"/>
      <c r="D10" s="841"/>
      <c r="E10" s="840"/>
      <c r="F10" s="840"/>
      <c r="G10" s="840"/>
      <c r="H10" s="841"/>
      <c r="I10" s="841"/>
      <c r="J10" s="842"/>
      <c r="K10" s="842"/>
      <c r="L10" s="842"/>
      <c r="M10" s="842"/>
      <c r="N10" s="842"/>
      <c r="O10" s="842"/>
      <c r="P10" s="846"/>
      <c r="Q10" s="842"/>
    </row>
    <row r="11" spans="1:17" s="298" customFormat="1" ht="24">
      <c r="A11" s="295" t="s">
        <v>81</v>
      </c>
      <c r="B11" s="302"/>
      <c r="C11" s="302"/>
      <c r="D11" s="304">
        <v>54623618288.360001</v>
      </c>
      <c r="E11" s="303">
        <v>63860377358.259995</v>
      </c>
      <c r="F11" s="303">
        <v>63551153127.309998</v>
      </c>
      <c r="G11" s="303">
        <v>63262304760.280022</v>
      </c>
      <c r="H11" s="304">
        <v>62964623268.020012</v>
      </c>
      <c r="I11" s="304">
        <v>62724422654.589928</v>
      </c>
      <c r="J11" s="304">
        <v>62491619197.550034</v>
      </c>
      <c r="K11" s="296"/>
      <c r="L11" s="296"/>
      <c r="M11" s="296"/>
      <c r="N11" s="296"/>
      <c r="O11" s="296"/>
      <c r="P11" s="297"/>
      <c r="Q11" s="296"/>
    </row>
    <row r="12" spans="1:17" s="143" customFormat="1" ht="25.5" customHeight="1">
      <c r="A12" s="281" t="s">
        <v>79</v>
      </c>
      <c r="B12" s="302"/>
      <c r="C12" s="302"/>
      <c r="D12" s="304">
        <v>6021666635.7500048</v>
      </c>
      <c r="E12" s="303">
        <v>8066989730.6399994</v>
      </c>
      <c r="F12" s="303">
        <v>8066442683.5299988</v>
      </c>
      <c r="G12" s="303">
        <v>8065139385.1999979</v>
      </c>
      <c r="H12" s="304">
        <v>8064578385.0599947</v>
      </c>
      <c r="I12" s="304">
        <v>8063810152.9100046</v>
      </c>
      <c r="J12" s="144">
        <v>8058596778.4000034</v>
      </c>
      <c r="K12" s="144"/>
      <c r="L12" s="144"/>
      <c r="M12" s="144"/>
      <c r="N12" s="144"/>
      <c r="O12" s="144"/>
      <c r="P12" s="145"/>
      <c r="Q12" s="144"/>
    </row>
    <row r="13" spans="1:17" s="143" customFormat="1" ht="17.25" customHeight="1">
      <c r="A13" s="280" t="s">
        <v>80</v>
      </c>
      <c r="B13" s="305"/>
      <c r="C13" s="305"/>
      <c r="D13" s="304">
        <v>10729605926.340004</v>
      </c>
      <c r="E13" s="303">
        <v>12386919733.330006</v>
      </c>
      <c r="F13" s="303">
        <v>12378528464.12001</v>
      </c>
      <c r="G13" s="303">
        <v>12369775956.86001</v>
      </c>
      <c r="H13" s="304">
        <v>12372824492.980001</v>
      </c>
      <c r="I13" s="304">
        <v>12359375577.25</v>
      </c>
      <c r="J13" s="201">
        <v>12317453763.720011</v>
      </c>
      <c r="K13" s="201"/>
      <c r="L13" s="201"/>
      <c r="M13" s="201"/>
      <c r="N13" s="201"/>
      <c r="O13" s="201"/>
      <c r="P13" s="202"/>
      <c r="Q13" s="201"/>
    </row>
    <row r="14" spans="1:17" s="143" customFormat="1" ht="17.25" customHeight="1">
      <c r="A14" s="847" t="s">
        <v>82</v>
      </c>
      <c r="B14" s="848"/>
      <c r="C14" s="848"/>
      <c r="D14" s="843"/>
      <c r="E14" s="840"/>
      <c r="F14" s="840"/>
      <c r="G14" s="840"/>
      <c r="H14" s="843"/>
      <c r="I14" s="843"/>
      <c r="J14" s="844"/>
      <c r="K14" s="844"/>
      <c r="L14" s="844"/>
      <c r="M14" s="844"/>
      <c r="N14" s="844"/>
      <c r="O14" s="844"/>
      <c r="P14" s="849"/>
      <c r="Q14" s="844"/>
    </row>
    <row r="15" spans="1:17" s="143" customFormat="1" ht="27" customHeight="1" thickBot="1">
      <c r="A15" s="281" t="s">
        <v>83</v>
      </c>
      <c r="B15" s="302"/>
      <c r="C15" s="302"/>
      <c r="D15" s="304">
        <v>157791590.30998516</v>
      </c>
      <c r="E15" s="303">
        <v>157777843.54000473</v>
      </c>
      <c r="F15" s="303">
        <v>157722620.09999084</v>
      </c>
      <c r="G15" s="303">
        <v>157699705.869977</v>
      </c>
      <c r="H15" s="304">
        <v>157314515.31999683</v>
      </c>
      <c r="I15" s="304">
        <v>157297931.95006561</v>
      </c>
      <c r="J15" s="144">
        <v>157081463.46994781</v>
      </c>
      <c r="K15" s="144"/>
      <c r="L15" s="144"/>
      <c r="M15" s="144"/>
      <c r="N15" s="144"/>
      <c r="O15" s="144"/>
      <c r="P15" s="145"/>
      <c r="Q15" s="144"/>
    </row>
    <row r="16" spans="1:17" s="93" customFormat="1" ht="19.5" customHeight="1" thickBot="1">
      <c r="A16" s="206" t="s">
        <v>84</v>
      </c>
      <c r="B16" s="207"/>
      <c r="C16" s="208">
        <v>1.5609999999999999</v>
      </c>
      <c r="D16" s="208">
        <v>1.6405261689999999</v>
      </c>
      <c r="E16" s="208">
        <v>0.282411095</v>
      </c>
      <c r="F16" s="208">
        <v>0.53891904999999996</v>
      </c>
      <c r="G16" s="208">
        <v>0.80891772900000003</v>
      </c>
      <c r="H16" s="208">
        <v>1.060311955</v>
      </c>
      <c r="I16" s="208">
        <v>1.263152681</v>
      </c>
      <c r="J16" s="208">
        <v>1.4774027940000001</v>
      </c>
      <c r="K16" s="209"/>
      <c r="L16" s="209"/>
      <c r="M16" s="209"/>
      <c r="N16" s="209"/>
      <c r="O16" s="209"/>
      <c r="P16" s="210"/>
      <c r="Q16" s="211"/>
    </row>
    <row r="17" spans="1:18" s="94" customFormat="1" ht="19.5" customHeight="1">
      <c r="A17" s="203" t="s">
        <v>317</v>
      </c>
      <c r="B17" s="306"/>
      <c r="C17" s="307">
        <v>0.89300000000000002</v>
      </c>
      <c r="D17" s="307">
        <v>0.496149375</v>
      </c>
      <c r="E17" s="307">
        <v>0.106999393</v>
      </c>
      <c r="F17" s="307">
        <v>0.24856841299999999</v>
      </c>
      <c r="G17" s="307">
        <v>0.30485753500000001</v>
      </c>
      <c r="H17" s="307">
        <v>0.36498591200000002</v>
      </c>
      <c r="I17" s="307">
        <v>0.41653464200000001</v>
      </c>
      <c r="J17" s="307">
        <v>0.51999527800000001</v>
      </c>
      <c r="K17" s="204"/>
      <c r="L17" s="204"/>
      <c r="M17" s="204"/>
      <c r="N17" s="204"/>
      <c r="O17" s="204"/>
      <c r="P17" s="205"/>
      <c r="Q17" s="204"/>
    </row>
    <row r="18" spans="1:18" s="94" customFormat="1" ht="25.5" customHeight="1">
      <c r="A18" s="147" t="s">
        <v>85</v>
      </c>
      <c r="B18" s="302"/>
      <c r="C18" s="308"/>
      <c r="D18" s="308">
        <v>15.916480662</v>
      </c>
      <c r="E18" s="308">
        <v>1.4560132960000001</v>
      </c>
      <c r="F18" s="308">
        <v>2.7547257250000001</v>
      </c>
      <c r="G18" s="308">
        <v>3.6357178229999998</v>
      </c>
      <c r="H18" s="308">
        <v>4.330275061</v>
      </c>
      <c r="I18" s="308">
        <v>5.5837680595999997</v>
      </c>
      <c r="J18" s="151">
        <v>6.8071561795799997</v>
      </c>
      <c r="K18" s="151"/>
      <c r="L18" s="151"/>
      <c r="M18" s="151"/>
      <c r="N18" s="151"/>
      <c r="O18" s="151"/>
      <c r="P18" s="149"/>
      <c r="Q18" s="148"/>
      <c r="R18" s="95"/>
    </row>
    <row r="19" spans="1:18" s="94" customFormat="1" ht="18.75" customHeight="1">
      <c r="A19" s="150" t="s">
        <v>86</v>
      </c>
      <c r="B19" s="302"/>
      <c r="C19" s="307"/>
      <c r="D19" s="308">
        <v>2.2607118829999999</v>
      </c>
      <c r="E19" s="308">
        <v>0.102608697</v>
      </c>
      <c r="F19" s="308">
        <v>0.26224793200000002</v>
      </c>
      <c r="G19" s="308">
        <v>0.44531189100000002</v>
      </c>
      <c r="H19" s="308">
        <v>0.56783025799999998</v>
      </c>
      <c r="I19" s="308">
        <v>0.69654750817</v>
      </c>
      <c r="J19" s="308">
        <v>0.88060789056</v>
      </c>
      <c r="K19" s="148"/>
      <c r="L19" s="148"/>
      <c r="M19" s="151"/>
      <c r="N19" s="151"/>
      <c r="O19" s="151"/>
      <c r="P19" s="149"/>
      <c r="Q19" s="148"/>
    </row>
    <row r="20" spans="1:18" s="94" customFormat="1" ht="18.75" customHeight="1">
      <c r="A20" s="150" t="s">
        <v>87</v>
      </c>
      <c r="B20" s="302"/>
      <c r="C20" s="308"/>
      <c r="D20" s="308">
        <v>0.29482032400000002</v>
      </c>
      <c r="E20" s="308">
        <v>3.3722589999999998E-3</v>
      </c>
      <c r="F20" s="308">
        <v>7.3124929999999998E-3</v>
      </c>
      <c r="G20" s="308">
        <v>1.0661504E-2</v>
      </c>
      <c r="H20" s="308">
        <v>1.7013896000000001E-2</v>
      </c>
      <c r="I20" s="308">
        <v>2.5438868260000001E-2</v>
      </c>
      <c r="J20" s="308">
        <v>7.1254319299999994E-2</v>
      </c>
      <c r="K20" s="148"/>
      <c r="L20" s="148"/>
      <c r="M20" s="151"/>
      <c r="N20" s="151"/>
      <c r="O20" s="151"/>
      <c r="P20" s="149"/>
      <c r="Q20" s="148"/>
    </row>
    <row r="21" spans="1:18" s="94" customFormat="1" ht="24" customHeight="1">
      <c r="A21" s="261" t="s">
        <v>88</v>
      </c>
      <c r="B21" s="262"/>
      <c r="C21" s="308"/>
      <c r="D21" s="310">
        <f>D19/(D18-D20)</f>
        <v>0.14471649197881822</v>
      </c>
      <c r="E21" s="310">
        <f>E19/(E18-E20)</f>
        <v>7.0635961938613462E-2</v>
      </c>
      <c r="F21" s="310">
        <f t="shared" ref="F21:J21" si="0">F19/(F18-F20)</f>
        <v>9.5452671241993942E-2</v>
      </c>
      <c r="G21" s="310">
        <f t="shared" si="0"/>
        <v>0.12284275106733868</v>
      </c>
      <c r="H21" s="310">
        <f t="shared" si="0"/>
        <v>0.13164754840436377</v>
      </c>
      <c r="I21" s="310">
        <f t="shared" si="0"/>
        <v>0.12531598690758303</v>
      </c>
      <c r="J21" s="310">
        <f t="shared" si="0"/>
        <v>0.13073347991495154</v>
      </c>
      <c r="K21" s="311"/>
      <c r="L21" s="311"/>
      <c r="M21" s="312"/>
      <c r="N21" s="312"/>
      <c r="O21" s="312"/>
      <c r="P21" s="313"/>
      <c r="Q21" s="311"/>
    </row>
    <row r="22" spans="1:18" s="94" customFormat="1" ht="32.25" customHeight="1">
      <c r="A22" s="147" t="s">
        <v>89</v>
      </c>
      <c r="B22" s="262"/>
      <c r="C22" s="308">
        <v>13.768000000000001</v>
      </c>
      <c r="D22" s="308">
        <v>13.480447884</v>
      </c>
      <c r="E22" s="308">
        <v>1.3974407985399999</v>
      </c>
      <c r="F22" s="308">
        <v>2.445181952</v>
      </c>
      <c r="G22" s="308">
        <v>3.2197002619999999</v>
      </c>
      <c r="H22" s="308">
        <v>3.8828760240000002</v>
      </c>
      <c r="I22" s="308">
        <v>5.0529326159999997</v>
      </c>
      <c r="J22" s="308">
        <v>5.9559659260000002</v>
      </c>
      <c r="K22" s="148"/>
      <c r="L22" s="148"/>
      <c r="M22" s="151"/>
      <c r="N22" s="151"/>
      <c r="O22" s="151"/>
      <c r="P22" s="149"/>
      <c r="Q22" s="148"/>
    </row>
    <row r="23" spans="1:18" s="94" customFormat="1" ht="27" customHeight="1">
      <c r="A23" s="150" t="s">
        <v>90</v>
      </c>
      <c r="B23" s="262"/>
      <c r="C23" s="308">
        <v>2.0739999999999998</v>
      </c>
      <c r="D23" s="308">
        <v>2.2214587460000002</v>
      </c>
      <c r="E23" s="308">
        <v>0.10058664212</v>
      </c>
      <c r="F23" s="308">
        <v>0.25410318300000001</v>
      </c>
      <c r="G23" s="308">
        <v>0.43266397299999998</v>
      </c>
      <c r="H23" s="308">
        <v>0.55144635399999997</v>
      </c>
      <c r="I23" s="308">
        <v>0.67746222199999995</v>
      </c>
      <c r="J23" s="308">
        <v>0.85840323500000004</v>
      </c>
      <c r="K23" s="148"/>
      <c r="L23" s="148"/>
      <c r="M23" s="151"/>
      <c r="N23" s="151"/>
      <c r="O23" s="151"/>
      <c r="P23" s="149"/>
      <c r="Q23" s="148"/>
    </row>
    <row r="24" spans="1:18" s="94" customFormat="1" ht="24.75" customHeight="1">
      <c r="A24" s="150" t="s">
        <v>318</v>
      </c>
      <c r="B24" s="309"/>
      <c r="C24" s="308">
        <v>0.20899999999999999</v>
      </c>
      <c r="D24" s="308">
        <v>0.28397041000000001</v>
      </c>
      <c r="E24" s="308">
        <v>3.1102622600000002E-3</v>
      </c>
      <c r="F24" s="308">
        <v>6.161522E-3</v>
      </c>
      <c r="G24" s="308">
        <v>8.9495970000000001E-3</v>
      </c>
      <c r="H24" s="308">
        <v>1.2768554999999999E-2</v>
      </c>
      <c r="I24" s="308">
        <v>2.0192839000000001E-2</v>
      </c>
      <c r="J24" s="308">
        <v>6.4064457000000005E-2</v>
      </c>
      <c r="K24" s="148"/>
      <c r="L24" s="148"/>
      <c r="M24" s="151"/>
      <c r="N24" s="151"/>
      <c r="O24" s="151"/>
      <c r="P24" s="149"/>
      <c r="Q24" s="148"/>
    </row>
    <row r="25" spans="1:18" s="93" customFormat="1" ht="24" customHeight="1" thickBot="1">
      <c r="A25" s="263" t="s">
        <v>91</v>
      </c>
      <c r="B25" s="267"/>
      <c r="C25" s="268">
        <f>C23/(C22-C24)</f>
        <v>0.15296113282690463</v>
      </c>
      <c r="D25" s="268">
        <f>D23/(D22-D24)</f>
        <v>0.16833725138975675</v>
      </c>
      <c r="E25" s="268">
        <f t="shared" ref="E25:J25" si="1">E23/(E22-E24)</f>
        <v>7.2139739826942217E-2</v>
      </c>
      <c r="F25" s="268">
        <f t="shared" si="1"/>
        <v>0.10418247419108335</v>
      </c>
      <c r="G25" s="268">
        <f t="shared" si="1"/>
        <v>0.13475477174743494</v>
      </c>
      <c r="H25" s="268">
        <f t="shared" si="1"/>
        <v>0.14248864105639128</v>
      </c>
      <c r="I25" s="268">
        <f t="shared" si="1"/>
        <v>0.13461101746131468</v>
      </c>
      <c r="J25" s="268">
        <f t="shared" si="1"/>
        <v>0.14569205536047297</v>
      </c>
      <c r="K25" s="264"/>
      <c r="L25" s="264"/>
      <c r="M25" s="264"/>
      <c r="N25" s="264"/>
      <c r="O25" s="264"/>
      <c r="P25" s="265"/>
      <c r="Q25" s="266"/>
      <c r="R25" s="94"/>
    </row>
    <row r="26" spans="1:18" s="93" customFormat="1" ht="1.5" customHeight="1">
      <c r="A26" s="1083"/>
      <c r="B26" s="1084"/>
      <c r="C26" s="1084"/>
      <c r="D26" s="1084"/>
      <c r="E26" s="1084"/>
      <c r="F26" s="1084"/>
      <c r="G26" s="1084"/>
      <c r="H26" s="1084"/>
      <c r="I26" s="1084"/>
      <c r="J26" s="1084"/>
      <c r="K26" s="1084"/>
      <c r="L26" s="1084"/>
      <c r="M26" s="1084"/>
      <c r="N26" s="1084"/>
      <c r="O26" s="1084"/>
      <c r="P26" s="1084"/>
      <c r="Q26" s="1084"/>
      <c r="R26" s="94"/>
    </row>
    <row r="27" spans="1:18" s="99" customFormat="1">
      <c r="A27" s="96"/>
      <c r="B27" s="97"/>
      <c r="C27" s="97"/>
      <c r="D27" s="97"/>
      <c r="E27" s="98"/>
      <c r="F27" s="98"/>
      <c r="G27" s="98"/>
      <c r="H27" s="98"/>
      <c r="I27" s="98"/>
      <c r="J27" s="98"/>
      <c r="K27" s="98"/>
      <c r="L27" s="98"/>
      <c r="M27" s="98"/>
      <c r="N27" s="98"/>
      <c r="O27" s="98"/>
      <c r="P27" s="98"/>
      <c r="Q27" s="98"/>
      <c r="R27" s="94"/>
    </row>
    <row r="28" spans="1:18" s="102" customFormat="1">
      <c r="A28" s="100" t="s">
        <v>94</v>
      </c>
      <c r="B28" s="101"/>
      <c r="C28" s="101"/>
      <c r="D28" s="101"/>
      <c r="R28" s="94"/>
    </row>
    <row r="29" spans="1:18" s="102" customFormat="1">
      <c r="A29" s="572" t="s">
        <v>92</v>
      </c>
      <c r="B29" s="103"/>
      <c r="C29" s="103"/>
      <c r="D29" s="103"/>
      <c r="E29" s="104"/>
      <c r="F29" s="105"/>
      <c r="G29" s="105"/>
      <c r="H29" s="105"/>
      <c r="I29" s="105"/>
      <c r="J29" s="105"/>
      <c r="K29" s="105"/>
      <c r="L29" s="105"/>
      <c r="M29" s="105"/>
      <c r="N29" s="105"/>
      <c r="O29" s="105"/>
      <c r="P29" s="105"/>
      <c r="Q29" s="105"/>
    </row>
    <row r="30" spans="1:18" s="102" customFormat="1">
      <c r="A30" s="1056" t="s">
        <v>93</v>
      </c>
      <c r="B30" s="1056"/>
      <c r="C30" s="1056"/>
      <c r="D30" s="1056"/>
      <c r="E30" s="1056"/>
      <c r="F30" s="1056"/>
      <c r="G30" s="1056"/>
      <c r="H30" s="1056"/>
      <c r="I30" s="1056"/>
      <c r="J30" s="1056"/>
      <c r="K30" s="1056"/>
      <c r="L30" s="1056"/>
      <c r="M30" s="1056"/>
      <c r="N30" s="1056"/>
      <c r="O30" s="1056"/>
      <c r="P30" s="1056"/>
      <c r="Q30" s="1056"/>
    </row>
    <row r="31" spans="1:18" s="102" customFormat="1" ht="28.5" customHeight="1">
      <c r="A31" s="1058" t="s">
        <v>95</v>
      </c>
      <c r="B31" s="1058"/>
      <c r="C31" s="1058"/>
      <c r="D31" s="1058"/>
      <c r="E31" s="1058"/>
      <c r="F31" s="1058"/>
      <c r="G31" s="1058"/>
      <c r="H31" s="1058"/>
      <c r="I31" s="1058"/>
      <c r="J31" s="1058"/>
      <c r="K31" s="1058"/>
      <c r="L31" s="1058"/>
      <c r="M31" s="1058"/>
      <c r="N31" s="1058"/>
      <c r="O31" s="1058"/>
      <c r="P31" s="1058"/>
      <c r="Q31" s="1058"/>
    </row>
    <row r="32" spans="1:18" s="102" customFormat="1" ht="14.25" customHeight="1">
      <c r="A32" s="569" t="s">
        <v>316</v>
      </c>
      <c r="B32" s="103"/>
      <c r="C32" s="103"/>
      <c r="D32" s="103"/>
      <c r="E32" s="104"/>
      <c r="F32" s="105"/>
      <c r="G32" s="105"/>
      <c r="H32" s="105"/>
      <c r="I32" s="105"/>
      <c r="J32" s="105"/>
      <c r="K32" s="105"/>
      <c r="L32" s="106"/>
      <c r="M32" s="104"/>
      <c r="N32" s="105"/>
      <c r="O32" s="105"/>
      <c r="P32" s="105"/>
      <c r="Q32" s="105"/>
    </row>
    <row r="33" spans="1:17" s="102" customFormat="1">
      <c r="A33" s="688" t="s">
        <v>16</v>
      </c>
      <c r="B33" s="103"/>
      <c r="C33" s="103"/>
      <c r="D33" s="103"/>
      <c r="E33" s="104"/>
      <c r="F33" s="105"/>
      <c r="G33" s="105"/>
      <c r="H33" s="105"/>
      <c r="I33" s="105"/>
      <c r="J33" s="105"/>
      <c r="K33" s="105"/>
      <c r="L33" s="108"/>
      <c r="M33" s="108"/>
      <c r="N33" s="105"/>
      <c r="O33" s="105"/>
      <c r="P33" s="105"/>
      <c r="Q33" s="105"/>
    </row>
    <row r="34" spans="1:17">
      <c r="A34" s="107"/>
      <c r="B34" s="109"/>
      <c r="C34" s="109"/>
      <c r="D34" s="109"/>
      <c r="E34" s="110"/>
      <c r="F34" s="110"/>
      <c r="G34" s="110"/>
      <c r="H34" s="110"/>
      <c r="I34" s="110"/>
      <c r="J34" s="110"/>
      <c r="K34" s="110"/>
      <c r="L34" s="110"/>
      <c r="M34" s="110"/>
      <c r="N34" s="110"/>
      <c r="O34" s="110"/>
      <c r="P34" s="110"/>
      <c r="Q34" s="110"/>
    </row>
    <row r="35" spans="1:17">
      <c r="A35" s="112"/>
      <c r="B35" s="103"/>
      <c r="C35" s="103"/>
      <c r="D35" s="103"/>
      <c r="E35" s="104"/>
      <c r="F35" s="105"/>
      <c r="G35" s="105"/>
      <c r="H35" s="105"/>
      <c r="I35" s="105"/>
      <c r="J35" s="108"/>
      <c r="K35" s="108"/>
      <c r="L35" s="108"/>
      <c r="M35" s="108"/>
      <c r="N35" s="105"/>
      <c r="O35" s="105"/>
      <c r="P35" s="105"/>
      <c r="Q35" s="105"/>
    </row>
  </sheetData>
  <mergeCells count="9">
    <mergeCell ref="A31:Q31"/>
    <mergeCell ref="A4:Q4"/>
    <mergeCell ref="A5:A6"/>
    <mergeCell ref="C5:C6"/>
    <mergeCell ref="E5:Q5"/>
    <mergeCell ref="A26:Q26"/>
    <mergeCell ref="A30:Q30"/>
    <mergeCell ref="B5:B6"/>
    <mergeCell ref="D5:D6"/>
  </mergeCells>
  <pageMargins left="0.70866141732283472" right="0.70866141732283472" top="0.74803149606299213" bottom="0.74803149606299213" header="0.31496062992125984" footer="0.31496062992125984"/>
  <pageSetup paperSize="9" scale="68" fitToHeight="0"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T39"/>
  <sheetViews>
    <sheetView view="pageBreakPreview" zoomScaleNormal="100" zoomScaleSheetLayoutView="100" workbookViewId="0">
      <selection activeCell="A4" sqref="A4:Q4"/>
    </sheetView>
  </sheetViews>
  <sheetFormatPr defaultRowHeight="12"/>
  <cols>
    <col min="1" max="1" width="64.42578125" style="102" customWidth="1"/>
    <col min="2" max="2" width="7.140625" style="113" customWidth="1"/>
    <col min="3" max="4" width="7.5703125" style="113" customWidth="1"/>
    <col min="5" max="5" width="7.5703125" style="114" customWidth="1"/>
    <col min="6" max="6" width="7.28515625" style="111" customWidth="1"/>
    <col min="7" max="12" width="7.5703125" style="111" customWidth="1"/>
    <col min="13" max="13" width="7.7109375" style="111" customWidth="1"/>
    <col min="14" max="17" width="7.5703125" style="111" customWidth="1"/>
    <col min="18" max="256" width="9.140625" style="111"/>
    <col min="257" max="257" width="82" style="111" customWidth="1"/>
    <col min="258" max="258" width="10.7109375" style="111" customWidth="1"/>
    <col min="259" max="259" width="8.5703125" style="111" customWidth="1"/>
    <col min="260" max="260" width="10.85546875" style="111" customWidth="1"/>
    <col min="261" max="261" width="8.85546875" style="111" customWidth="1"/>
    <col min="262" max="262" width="13.85546875" style="111" customWidth="1"/>
    <col min="263" max="263" width="11" style="111" customWidth="1"/>
    <col min="264" max="265" width="12.28515625" style="111" customWidth="1"/>
    <col min="266" max="266" width="6.42578125" style="111" customWidth="1"/>
    <col min="267" max="267" width="9.140625" style="111" customWidth="1"/>
    <col min="268" max="268" width="6.85546875" style="111" customWidth="1"/>
    <col min="269" max="269" width="10.42578125" style="111" customWidth="1"/>
    <col min="270" max="270" width="10" style="111" customWidth="1"/>
    <col min="271" max="271" width="6.7109375" style="111" bestFit="1" customWidth="1"/>
    <col min="272" max="272" width="9.140625" style="111" customWidth="1"/>
    <col min="273" max="512" width="9.140625" style="111"/>
    <col min="513" max="513" width="82" style="111" customWidth="1"/>
    <col min="514" max="514" width="10.7109375" style="111" customWidth="1"/>
    <col min="515" max="515" width="8.5703125" style="111" customWidth="1"/>
    <col min="516" max="516" width="10.85546875" style="111" customWidth="1"/>
    <col min="517" max="517" width="8.85546875" style="111" customWidth="1"/>
    <col min="518" max="518" width="13.85546875" style="111" customWidth="1"/>
    <col min="519" max="519" width="11" style="111" customWidth="1"/>
    <col min="520" max="521" width="12.28515625" style="111" customWidth="1"/>
    <col min="522" max="522" width="6.42578125" style="111" customWidth="1"/>
    <col min="523" max="523" width="9.140625" style="111" customWidth="1"/>
    <col min="524" max="524" width="6.85546875" style="111" customWidth="1"/>
    <col min="525" max="525" width="10.42578125" style="111" customWidth="1"/>
    <col min="526" max="526" width="10" style="111" customWidth="1"/>
    <col min="527" max="527" width="6.7109375" style="111" bestFit="1" customWidth="1"/>
    <col min="528" max="528" width="9.140625" style="111" customWidth="1"/>
    <col min="529" max="768" width="9.140625" style="111"/>
    <col min="769" max="769" width="82" style="111" customWidth="1"/>
    <col min="770" max="770" width="10.7109375" style="111" customWidth="1"/>
    <col min="771" max="771" width="8.5703125" style="111" customWidth="1"/>
    <col min="772" max="772" width="10.85546875" style="111" customWidth="1"/>
    <col min="773" max="773" width="8.85546875" style="111" customWidth="1"/>
    <col min="774" max="774" width="13.85546875" style="111" customWidth="1"/>
    <col min="775" max="775" width="11" style="111" customWidth="1"/>
    <col min="776" max="777" width="12.28515625" style="111" customWidth="1"/>
    <col min="778" max="778" width="6.42578125" style="111" customWidth="1"/>
    <col min="779" max="779" width="9.140625" style="111" customWidth="1"/>
    <col min="780" max="780" width="6.85546875" style="111" customWidth="1"/>
    <col min="781" max="781" width="10.42578125" style="111" customWidth="1"/>
    <col min="782" max="782" width="10" style="111" customWidth="1"/>
    <col min="783" max="783" width="6.7109375" style="111" bestFit="1" customWidth="1"/>
    <col min="784" max="784" width="9.140625" style="111" customWidth="1"/>
    <col min="785" max="1024" width="9.140625" style="111"/>
    <col min="1025" max="1025" width="82" style="111" customWidth="1"/>
    <col min="1026" max="1026" width="10.7109375" style="111" customWidth="1"/>
    <col min="1027" max="1027" width="8.5703125" style="111" customWidth="1"/>
    <col min="1028" max="1028" width="10.85546875" style="111" customWidth="1"/>
    <col min="1029" max="1029" width="8.85546875" style="111" customWidth="1"/>
    <col min="1030" max="1030" width="13.85546875" style="111" customWidth="1"/>
    <col min="1031" max="1031" width="11" style="111" customWidth="1"/>
    <col min="1032" max="1033" width="12.28515625" style="111" customWidth="1"/>
    <col min="1034" max="1034" width="6.42578125" style="111" customWidth="1"/>
    <col min="1035" max="1035" width="9.140625" style="111" customWidth="1"/>
    <col min="1036" max="1036" width="6.85546875" style="111" customWidth="1"/>
    <col min="1037" max="1037" width="10.42578125" style="111" customWidth="1"/>
    <col min="1038" max="1038" width="10" style="111" customWidth="1"/>
    <col min="1039" max="1039" width="6.7109375" style="111" bestFit="1" customWidth="1"/>
    <col min="1040" max="1040" width="9.140625" style="111" customWidth="1"/>
    <col min="1041" max="1280" width="9.140625" style="111"/>
    <col min="1281" max="1281" width="82" style="111" customWidth="1"/>
    <col min="1282" max="1282" width="10.7109375" style="111" customWidth="1"/>
    <col min="1283" max="1283" width="8.5703125" style="111" customWidth="1"/>
    <col min="1284" max="1284" width="10.85546875" style="111" customWidth="1"/>
    <col min="1285" max="1285" width="8.85546875" style="111" customWidth="1"/>
    <col min="1286" max="1286" width="13.85546875" style="111" customWidth="1"/>
    <col min="1287" max="1287" width="11" style="111" customWidth="1"/>
    <col min="1288" max="1289" width="12.28515625" style="111" customWidth="1"/>
    <col min="1290" max="1290" width="6.42578125" style="111" customWidth="1"/>
    <col min="1291" max="1291" width="9.140625" style="111" customWidth="1"/>
    <col min="1292" max="1292" width="6.85546875" style="111" customWidth="1"/>
    <col min="1293" max="1293" width="10.42578125" style="111" customWidth="1"/>
    <col min="1294" max="1294" width="10" style="111" customWidth="1"/>
    <col min="1295" max="1295" width="6.7109375" style="111" bestFit="1" customWidth="1"/>
    <col min="1296" max="1296" width="9.140625" style="111" customWidth="1"/>
    <col min="1297" max="1536" width="9.140625" style="111"/>
    <col min="1537" max="1537" width="82" style="111" customWidth="1"/>
    <col min="1538" max="1538" width="10.7109375" style="111" customWidth="1"/>
    <col min="1539" max="1539" width="8.5703125" style="111" customWidth="1"/>
    <col min="1540" max="1540" width="10.85546875" style="111" customWidth="1"/>
    <col min="1541" max="1541" width="8.85546875" style="111" customWidth="1"/>
    <col min="1542" max="1542" width="13.85546875" style="111" customWidth="1"/>
    <col min="1543" max="1543" width="11" style="111" customWidth="1"/>
    <col min="1544" max="1545" width="12.28515625" style="111" customWidth="1"/>
    <col min="1546" max="1546" width="6.42578125" style="111" customWidth="1"/>
    <col min="1547" max="1547" width="9.140625" style="111" customWidth="1"/>
    <col min="1548" max="1548" width="6.85546875" style="111" customWidth="1"/>
    <col min="1549" max="1549" width="10.42578125" style="111" customWidth="1"/>
    <col min="1550" max="1550" width="10" style="111" customWidth="1"/>
    <col min="1551" max="1551" width="6.7109375" style="111" bestFit="1" customWidth="1"/>
    <col min="1552" max="1552" width="9.140625" style="111" customWidth="1"/>
    <col min="1553" max="1792" width="9.140625" style="111"/>
    <col min="1793" max="1793" width="82" style="111" customWidth="1"/>
    <col min="1794" max="1794" width="10.7109375" style="111" customWidth="1"/>
    <col min="1795" max="1795" width="8.5703125" style="111" customWidth="1"/>
    <col min="1796" max="1796" width="10.85546875" style="111" customWidth="1"/>
    <col min="1797" max="1797" width="8.85546875" style="111" customWidth="1"/>
    <col min="1798" max="1798" width="13.85546875" style="111" customWidth="1"/>
    <col min="1799" max="1799" width="11" style="111" customWidth="1"/>
    <col min="1800" max="1801" width="12.28515625" style="111" customWidth="1"/>
    <col min="1802" max="1802" width="6.42578125" style="111" customWidth="1"/>
    <col min="1803" max="1803" width="9.140625" style="111" customWidth="1"/>
    <col min="1804" max="1804" width="6.85546875" style="111" customWidth="1"/>
    <col min="1805" max="1805" width="10.42578125" style="111" customWidth="1"/>
    <col min="1806" max="1806" width="10" style="111" customWidth="1"/>
    <col min="1807" max="1807" width="6.7109375" style="111" bestFit="1" customWidth="1"/>
    <col min="1808" max="1808" width="9.140625" style="111" customWidth="1"/>
    <col min="1809" max="2048" width="9.140625" style="111"/>
    <col min="2049" max="2049" width="82" style="111" customWidth="1"/>
    <col min="2050" max="2050" width="10.7109375" style="111" customWidth="1"/>
    <col min="2051" max="2051" width="8.5703125" style="111" customWidth="1"/>
    <col min="2052" max="2052" width="10.85546875" style="111" customWidth="1"/>
    <col min="2053" max="2053" width="8.85546875" style="111" customWidth="1"/>
    <col min="2054" max="2054" width="13.85546875" style="111" customWidth="1"/>
    <col min="2055" max="2055" width="11" style="111" customWidth="1"/>
    <col min="2056" max="2057" width="12.28515625" style="111" customWidth="1"/>
    <col min="2058" max="2058" width="6.42578125" style="111" customWidth="1"/>
    <col min="2059" max="2059" width="9.140625" style="111" customWidth="1"/>
    <col min="2060" max="2060" width="6.85546875" style="111" customWidth="1"/>
    <col min="2061" max="2061" width="10.42578125" style="111" customWidth="1"/>
    <col min="2062" max="2062" width="10" style="111" customWidth="1"/>
    <col min="2063" max="2063" width="6.7109375" style="111" bestFit="1" customWidth="1"/>
    <col min="2064" max="2064" width="9.140625" style="111" customWidth="1"/>
    <col min="2065" max="2304" width="9.140625" style="111"/>
    <col min="2305" max="2305" width="82" style="111" customWidth="1"/>
    <col min="2306" max="2306" width="10.7109375" style="111" customWidth="1"/>
    <col min="2307" max="2307" width="8.5703125" style="111" customWidth="1"/>
    <col min="2308" max="2308" width="10.85546875" style="111" customWidth="1"/>
    <col min="2309" max="2309" width="8.85546875" style="111" customWidth="1"/>
    <col min="2310" max="2310" width="13.85546875" style="111" customWidth="1"/>
    <col min="2311" max="2311" width="11" style="111" customWidth="1"/>
    <col min="2312" max="2313" width="12.28515625" style="111" customWidth="1"/>
    <col min="2314" max="2314" width="6.42578125" style="111" customWidth="1"/>
    <col min="2315" max="2315" width="9.140625" style="111" customWidth="1"/>
    <col min="2316" max="2316" width="6.85546875" style="111" customWidth="1"/>
    <col min="2317" max="2317" width="10.42578125" style="111" customWidth="1"/>
    <col min="2318" max="2318" width="10" style="111" customWidth="1"/>
    <col min="2319" max="2319" width="6.7109375" style="111" bestFit="1" customWidth="1"/>
    <col min="2320" max="2320" width="9.140625" style="111" customWidth="1"/>
    <col min="2321" max="2560" width="9.140625" style="111"/>
    <col min="2561" max="2561" width="82" style="111" customWidth="1"/>
    <col min="2562" max="2562" width="10.7109375" style="111" customWidth="1"/>
    <col min="2563" max="2563" width="8.5703125" style="111" customWidth="1"/>
    <col min="2564" max="2564" width="10.85546875" style="111" customWidth="1"/>
    <col min="2565" max="2565" width="8.85546875" style="111" customWidth="1"/>
    <col min="2566" max="2566" width="13.85546875" style="111" customWidth="1"/>
    <col min="2567" max="2567" width="11" style="111" customWidth="1"/>
    <col min="2568" max="2569" width="12.28515625" style="111" customWidth="1"/>
    <col min="2570" max="2570" width="6.42578125" style="111" customWidth="1"/>
    <col min="2571" max="2571" width="9.140625" style="111" customWidth="1"/>
    <col min="2572" max="2572" width="6.85546875" style="111" customWidth="1"/>
    <col min="2573" max="2573" width="10.42578125" style="111" customWidth="1"/>
    <col min="2574" max="2574" width="10" style="111" customWidth="1"/>
    <col min="2575" max="2575" width="6.7109375" style="111" bestFit="1" customWidth="1"/>
    <col min="2576" max="2576" width="9.140625" style="111" customWidth="1"/>
    <col min="2577" max="2816" width="9.140625" style="111"/>
    <col min="2817" max="2817" width="82" style="111" customWidth="1"/>
    <col min="2818" max="2818" width="10.7109375" style="111" customWidth="1"/>
    <col min="2819" max="2819" width="8.5703125" style="111" customWidth="1"/>
    <col min="2820" max="2820" width="10.85546875" style="111" customWidth="1"/>
    <col min="2821" max="2821" width="8.85546875" style="111" customWidth="1"/>
    <col min="2822" max="2822" width="13.85546875" style="111" customWidth="1"/>
    <col min="2823" max="2823" width="11" style="111" customWidth="1"/>
    <col min="2824" max="2825" width="12.28515625" style="111" customWidth="1"/>
    <col min="2826" max="2826" width="6.42578125" style="111" customWidth="1"/>
    <col min="2827" max="2827" width="9.140625" style="111" customWidth="1"/>
    <col min="2828" max="2828" width="6.85546875" style="111" customWidth="1"/>
    <col min="2829" max="2829" width="10.42578125" style="111" customWidth="1"/>
    <col min="2830" max="2830" width="10" style="111" customWidth="1"/>
    <col min="2831" max="2831" width="6.7109375" style="111" bestFit="1" customWidth="1"/>
    <col min="2832" max="2832" width="9.140625" style="111" customWidth="1"/>
    <col min="2833" max="3072" width="9.140625" style="111"/>
    <col min="3073" max="3073" width="82" style="111" customWidth="1"/>
    <col min="3074" max="3074" width="10.7109375" style="111" customWidth="1"/>
    <col min="3075" max="3075" width="8.5703125" style="111" customWidth="1"/>
    <col min="3076" max="3076" width="10.85546875" style="111" customWidth="1"/>
    <col min="3077" max="3077" width="8.85546875" style="111" customWidth="1"/>
    <col min="3078" max="3078" width="13.85546875" style="111" customWidth="1"/>
    <col min="3079" max="3079" width="11" style="111" customWidth="1"/>
    <col min="3080" max="3081" width="12.28515625" style="111" customWidth="1"/>
    <col min="3082" max="3082" width="6.42578125" style="111" customWidth="1"/>
    <col min="3083" max="3083" width="9.140625" style="111" customWidth="1"/>
    <col min="3084" max="3084" width="6.85546875" style="111" customWidth="1"/>
    <col min="3085" max="3085" width="10.42578125" style="111" customWidth="1"/>
    <col min="3086" max="3086" width="10" style="111" customWidth="1"/>
    <col min="3087" max="3087" width="6.7109375" style="111" bestFit="1" customWidth="1"/>
    <col min="3088" max="3088" width="9.140625" style="111" customWidth="1"/>
    <col min="3089" max="3328" width="9.140625" style="111"/>
    <col min="3329" max="3329" width="82" style="111" customWidth="1"/>
    <col min="3330" max="3330" width="10.7109375" style="111" customWidth="1"/>
    <col min="3331" max="3331" width="8.5703125" style="111" customWidth="1"/>
    <col min="3332" max="3332" width="10.85546875" style="111" customWidth="1"/>
    <col min="3333" max="3333" width="8.85546875" style="111" customWidth="1"/>
    <col min="3334" max="3334" width="13.85546875" style="111" customWidth="1"/>
    <col min="3335" max="3335" width="11" style="111" customWidth="1"/>
    <col min="3336" max="3337" width="12.28515625" style="111" customWidth="1"/>
    <col min="3338" max="3338" width="6.42578125" style="111" customWidth="1"/>
    <col min="3339" max="3339" width="9.140625" style="111" customWidth="1"/>
    <col min="3340" max="3340" width="6.85546875" style="111" customWidth="1"/>
    <col min="3341" max="3341" width="10.42578125" style="111" customWidth="1"/>
    <col min="3342" max="3342" width="10" style="111" customWidth="1"/>
    <col min="3343" max="3343" width="6.7109375" style="111" bestFit="1" customWidth="1"/>
    <col min="3344" max="3344" width="9.140625" style="111" customWidth="1"/>
    <col min="3345" max="3584" width="9.140625" style="111"/>
    <col min="3585" max="3585" width="82" style="111" customWidth="1"/>
    <col min="3586" max="3586" width="10.7109375" style="111" customWidth="1"/>
    <col min="3587" max="3587" width="8.5703125" style="111" customWidth="1"/>
    <col min="3588" max="3588" width="10.85546875" style="111" customWidth="1"/>
    <col min="3589" max="3589" width="8.85546875" style="111" customWidth="1"/>
    <col min="3590" max="3590" width="13.85546875" style="111" customWidth="1"/>
    <col min="3591" max="3591" width="11" style="111" customWidth="1"/>
    <col min="3592" max="3593" width="12.28515625" style="111" customWidth="1"/>
    <col min="3594" max="3594" width="6.42578125" style="111" customWidth="1"/>
    <col min="3595" max="3595" width="9.140625" style="111" customWidth="1"/>
    <col min="3596" max="3596" width="6.85546875" style="111" customWidth="1"/>
    <col min="3597" max="3597" width="10.42578125" style="111" customWidth="1"/>
    <col min="3598" max="3598" width="10" style="111" customWidth="1"/>
    <col min="3599" max="3599" width="6.7109375" style="111" bestFit="1" customWidth="1"/>
    <col min="3600" max="3600" width="9.140625" style="111" customWidth="1"/>
    <col min="3601" max="3840" width="9.140625" style="111"/>
    <col min="3841" max="3841" width="82" style="111" customWidth="1"/>
    <col min="3842" max="3842" width="10.7109375" style="111" customWidth="1"/>
    <col min="3843" max="3843" width="8.5703125" style="111" customWidth="1"/>
    <col min="3844" max="3844" width="10.85546875" style="111" customWidth="1"/>
    <col min="3845" max="3845" width="8.85546875" style="111" customWidth="1"/>
    <col min="3846" max="3846" width="13.85546875" style="111" customWidth="1"/>
    <col min="3847" max="3847" width="11" style="111" customWidth="1"/>
    <col min="3848" max="3849" width="12.28515625" style="111" customWidth="1"/>
    <col min="3850" max="3850" width="6.42578125" style="111" customWidth="1"/>
    <col min="3851" max="3851" width="9.140625" style="111" customWidth="1"/>
    <col min="3852" max="3852" width="6.85546875" style="111" customWidth="1"/>
    <col min="3853" max="3853" width="10.42578125" style="111" customWidth="1"/>
    <col min="3854" max="3854" width="10" style="111" customWidth="1"/>
    <col min="3855" max="3855" width="6.7109375" style="111" bestFit="1" customWidth="1"/>
    <col min="3856" max="3856" width="9.140625" style="111" customWidth="1"/>
    <col min="3857" max="4096" width="9.140625" style="111"/>
    <col min="4097" max="4097" width="82" style="111" customWidth="1"/>
    <col min="4098" max="4098" width="10.7109375" style="111" customWidth="1"/>
    <col min="4099" max="4099" width="8.5703125" style="111" customWidth="1"/>
    <col min="4100" max="4100" width="10.85546875" style="111" customWidth="1"/>
    <col min="4101" max="4101" width="8.85546875" style="111" customWidth="1"/>
    <col min="4102" max="4102" width="13.85546875" style="111" customWidth="1"/>
    <col min="4103" max="4103" width="11" style="111" customWidth="1"/>
    <col min="4104" max="4105" width="12.28515625" style="111" customWidth="1"/>
    <col min="4106" max="4106" width="6.42578125" style="111" customWidth="1"/>
    <col min="4107" max="4107" width="9.140625" style="111" customWidth="1"/>
    <col min="4108" max="4108" width="6.85546875" style="111" customWidth="1"/>
    <col min="4109" max="4109" width="10.42578125" style="111" customWidth="1"/>
    <col min="4110" max="4110" width="10" style="111" customWidth="1"/>
    <col min="4111" max="4111" width="6.7109375" style="111" bestFit="1" customWidth="1"/>
    <col min="4112" max="4112" width="9.140625" style="111" customWidth="1"/>
    <col min="4113" max="4352" width="9.140625" style="111"/>
    <col min="4353" max="4353" width="82" style="111" customWidth="1"/>
    <col min="4354" max="4354" width="10.7109375" style="111" customWidth="1"/>
    <col min="4355" max="4355" width="8.5703125" style="111" customWidth="1"/>
    <col min="4356" max="4356" width="10.85546875" style="111" customWidth="1"/>
    <col min="4357" max="4357" width="8.85546875" style="111" customWidth="1"/>
    <col min="4358" max="4358" width="13.85546875" style="111" customWidth="1"/>
    <col min="4359" max="4359" width="11" style="111" customWidth="1"/>
    <col min="4360" max="4361" width="12.28515625" style="111" customWidth="1"/>
    <col min="4362" max="4362" width="6.42578125" style="111" customWidth="1"/>
    <col min="4363" max="4363" width="9.140625" style="111" customWidth="1"/>
    <col min="4364" max="4364" width="6.85546875" style="111" customWidth="1"/>
    <col min="4365" max="4365" width="10.42578125" style="111" customWidth="1"/>
    <col min="4366" max="4366" width="10" style="111" customWidth="1"/>
    <col min="4367" max="4367" width="6.7109375" style="111" bestFit="1" customWidth="1"/>
    <col min="4368" max="4368" width="9.140625" style="111" customWidth="1"/>
    <col min="4369" max="4608" width="9.140625" style="111"/>
    <col min="4609" max="4609" width="82" style="111" customWidth="1"/>
    <col min="4610" max="4610" width="10.7109375" style="111" customWidth="1"/>
    <col min="4611" max="4611" width="8.5703125" style="111" customWidth="1"/>
    <col min="4612" max="4612" width="10.85546875" style="111" customWidth="1"/>
    <col min="4613" max="4613" width="8.85546875" style="111" customWidth="1"/>
    <col min="4614" max="4614" width="13.85546875" style="111" customWidth="1"/>
    <col min="4615" max="4615" width="11" style="111" customWidth="1"/>
    <col min="4616" max="4617" width="12.28515625" style="111" customWidth="1"/>
    <col min="4618" max="4618" width="6.42578125" style="111" customWidth="1"/>
    <col min="4619" max="4619" width="9.140625" style="111" customWidth="1"/>
    <col min="4620" max="4620" width="6.85546875" style="111" customWidth="1"/>
    <col min="4621" max="4621" width="10.42578125" style="111" customWidth="1"/>
    <col min="4622" max="4622" width="10" style="111" customWidth="1"/>
    <col min="4623" max="4623" width="6.7109375" style="111" bestFit="1" customWidth="1"/>
    <col min="4624" max="4624" width="9.140625" style="111" customWidth="1"/>
    <col min="4625" max="4864" width="9.140625" style="111"/>
    <col min="4865" max="4865" width="82" style="111" customWidth="1"/>
    <col min="4866" max="4866" width="10.7109375" style="111" customWidth="1"/>
    <col min="4867" max="4867" width="8.5703125" style="111" customWidth="1"/>
    <col min="4868" max="4868" width="10.85546875" style="111" customWidth="1"/>
    <col min="4869" max="4869" width="8.85546875" style="111" customWidth="1"/>
    <col min="4870" max="4870" width="13.85546875" style="111" customWidth="1"/>
    <col min="4871" max="4871" width="11" style="111" customWidth="1"/>
    <col min="4872" max="4873" width="12.28515625" style="111" customWidth="1"/>
    <col min="4874" max="4874" width="6.42578125" style="111" customWidth="1"/>
    <col min="4875" max="4875" width="9.140625" style="111" customWidth="1"/>
    <col min="4876" max="4876" width="6.85546875" style="111" customWidth="1"/>
    <col min="4877" max="4877" width="10.42578125" style="111" customWidth="1"/>
    <col min="4878" max="4878" width="10" style="111" customWidth="1"/>
    <col min="4879" max="4879" width="6.7109375" style="111" bestFit="1" customWidth="1"/>
    <col min="4880" max="4880" width="9.140625" style="111" customWidth="1"/>
    <col min="4881" max="5120" width="9.140625" style="111"/>
    <col min="5121" max="5121" width="82" style="111" customWidth="1"/>
    <col min="5122" max="5122" width="10.7109375" style="111" customWidth="1"/>
    <col min="5123" max="5123" width="8.5703125" style="111" customWidth="1"/>
    <col min="5124" max="5124" width="10.85546875" style="111" customWidth="1"/>
    <col min="5125" max="5125" width="8.85546875" style="111" customWidth="1"/>
    <col min="5126" max="5126" width="13.85546875" style="111" customWidth="1"/>
    <col min="5127" max="5127" width="11" style="111" customWidth="1"/>
    <col min="5128" max="5129" width="12.28515625" style="111" customWidth="1"/>
    <col min="5130" max="5130" width="6.42578125" style="111" customWidth="1"/>
    <col min="5131" max="5131" width="9.140625" style="111" customWidth="1"/>
    <col min="5132" max="5132" width="6.85546875" style="111" customWidth="1"/>
    <col min="5133" max="5133" width="10.42578125" style="111" customWidth="1"/>
    <col min="5134" max="5134" width="10" style="111" customWidth="1"/>
    <col min="5135" max="5135" width="6.7109375" style="111" bestFit="1" customWidth="1"/>
    <col min="5136" max="5136" width="9.140625" style="111" customWidth="1"/>
    <col min="5137" max="5376" width="9.140625" style="111"/>
    <col min="5377" max="5377" width="82" style="111" customWidth="1"/>
    <col min="5378" max="5378" width="10.7109375" style="111" customWidth="1"/>
    <col min="5379" max="5379" width="8.5703125" style="111" customWidth="1"/>
    <col min="5380" max="5380" width="10.85546875" style="111" customWidth="1"/>
    <col min="5381" max="5381" width="8.85546875" style="111" customWidth="1"/>
    <col min="5382" max="5382" width="13.85546875" style="111" customWidth="1"/>
    <col min="5383" max="5383" width="11" style="111" customWidth="1"/>
    <col min="5384" max="5385" width="12.28515625" style="111" customWidth="1"/>
    <col min="5386" max="5386" width="6.42578125" style="111" customWidth="1"/>
    <col min="5387" max="5387" width="9.140625" style="111" customWidth="1"/>
    <col min="5388" max="5388" width="6.85546875" style="111" customWidth="1"/>
    <col min="5389" max="5389" width="10.42578125" style="111" customWidth="1"/>
    <col min="5390" max="5390" width="10" style="111" customWidth="1"/>
    <col min="5391" max="5391" width="6.7109375" style="111" bestFit="1" customWidth="1"/>
    <col min="5392" max="5392" width="9.140625" style="111" customWidth="1"/>
    <col min="5393" max="5632" width="9.140625" style="111"/>
    <col min="5633" max="5633" width="82" style="111" customWidth="1"/>
    <col min="5634" max="5634" width="10.7109375" style="111" customWidth="1"/>
    <col min="5635" max="5635" width="8.5703125" style="111" customWidth="1"/>
    <col min="5636" max="5636" width="10.85546875" style="111" customWidth="1"/>
    <col min="5637" max="5637" width="8.85546875" style="111" customWidth="1"/>
    <col min="5638" max="5638" width="13.85546875" style="111" customWidth="1"/>
    <col min="5639" max="5639" width="11" style="111" customWidth="1"/>
    <col min="5640" max="5641" width="12.28515625" style="111" customWidth="1"/>
    <col min="5642" max="5642" width="6.42578125" style="111" customWidth="1"/>
    <col min="5643" max="5643" width="9.140625" style="111" customWidth="1"/>
    <col min="5644" max="5644" width="6.85546875" style="111" customWidth="1"/>
    <col min="5645" max="5645" width="10.42578125" style="111" customWidth="1"/>
    <col min="5646" max="5646" width="10" style="111" customWidth="1"/>
    <col min="5647" max="5647" width="6.7109375" style="111" bestFit="1" customWidth="1"/>
    <col min="5648" max="5648" width="9.140625" style="111" customWidth="1"/>
    <col min="5649" max="5888" width="9.140625" style="111"/>
    <col min="5889" max="5889" width="82" style="111" customWidth="1"/>
    <col min="5890" max="5890" width="10.7109375" style="111" customWidth="1"/>
    <col min="5891" max="5891" width="8.5703125" style="111" customWidth="1"/>
    <col min="5892" max="5892" width="10.85546875" style="111" customWidth="1"/>
    <col min="5893" max="5893" width="8.85546875" style="111" customWidth="1"/>
    <col min="5894" max="5894" width="13.85546875" style="111" customWidth="1"/>
    <col min="5895" max="5895" width="11" style="111" customWidth="1"/>
    <col min="5896" max="5897" width="12.28515625" style="111" customWidth="1"/>
    <col min="5898" max="5898" width="6.42578125" style="111" customWidth="1"/>
    <col min="5899" max="5899" width="9.140625" style="111" customWidth="1"/>
    <col min="5900" max="5900" width="6.85546875" style="111" customWidth="1"/>
    <col min="5901" max="5901" width="10.42578125" style="111" customWidth="1"/>
    <col min="5902" max="5902" width="10" style="111" customWidth="1"/>
    <col min="5903" max="5903" width="6.7109375" style="111" bestFit="1" customWidth="1"/>
    <col min="5904" max="5904" width="9.140625" style="111" customWidth="1"/>
    <col min="5905" max="6144" width="9.140625" style="111"/>
    <col min="6145" max="6145" width="82" style="111" customWidth="1"/>
    <col min="6146" max="6146" width="10.7109375" style="111" customWidth="1"/>
    <col min="6147" max="6147" width="8.5703125" style="111" customWidth="1"/>
    <col min="6148" max="6148" width="10.85546875" style="111" customWidth="1"/>
    <col min="6149" max="6149" width="8.85546875" style="111" customWidth="1"/>
    <col min="6150" max="6150" width="13.85546875" style="111" customWidth="1"/>
    <col min="6151" max="6151" width="11" style="111" customWidth="1"/>
    <col min="6152" max="6153" width="12.28515625" style="111" customWidth="1"/>
    <col min="6154" max="6154" width="6.42578125" style="111" customWidth="1"/>
    <col min="6155" max="6155" width="9.140625" style="111" customWidth="1"/>
    <col min="6156" max="6156" width="6.85546875" style="111" customWidth="1"/>
    <col min="6157" max="6157" width="10.42578125" style="111" customWidth="1"/>
    <col min="6158" max="6158" width="10" style="111" customWidth="1"/>
    <col min="6159" max="6159" width="6.7109375" style="111" bestFit="1" customWidth="1"/>
    <col min="6160" max="6160" width="9.140625" style="111" customWidth="1"/>
    <col min="6161" max="6400" width="9.140625" style="111"/>
    <col min="6401" max="6401" width="82" style="111" customWidth="1"/>
    <col min="6402" max="6402" width="10.7109375" style="111" customWidth="1"/>
    <col min="6403" max="6403" width="8.5703125" style="111" customWidth="1"/>
    <col min="6404" max="6404" width="10.85546875" style="111" customWidth="1"/>
    <col min="6405" max="6405" width="8.85546875" style="111" customWidth="1"/>
    <col min="6406" max="6406" width="13.85546875" style="111" customWidth="1"/>
    <col min="6407" max="6407" width="11" style="111" customWidth="1"/>
    <col min="6408" max="6409" width="12.28515625" style="111" customWidth="1"/>
    <col min="6410" max="6410" width="6.42578125" style="111" customWidth="1"/>
    <col min="6411" max="6411" width="9.140625" style="111" customWidth="1"/>
    <col min="6412" max="6412" width="6.85546875" style="111" customWidth="1"/>
    <col min="6413" max="6413" width="10.42578125" style="111" customWidth="1"/>
    <col min="6414" max="6414" width="10" style="111" customWidth="1"/>
    <col min="6415" max="6415" width="6.7109375" style="111" bestFit="1" customWidth="1"/>
    <col min="6416" max="6416" width="9.140625" style="111" customWidth="1"/>
    <col min="6417" max="6656" width="9.140625" style="111"/>
    <col min="6657" max="6657" width="82" style="111" customWidth="1"/>
    <col min="6658" max="6658" width="10.7109375" style="111" customWidth="1"/>
    <col min="6659" max="6659" width="8.5703125" style="111" customWidth="1"/>
    <col min="6660" max="6660" width="10.85546875" style="111" customWidth="1"/>
    <col min="6661" max="6661" width="8.85546875" style="111" customWidth="1"/>
    <col min="6662" max="6662" width="13.85546875" style="111" customWidth="1"/>
    <col min="6663" max="6663" width="11" style="111" customWidth="1"/>
    <col min="6664" max="6665" width="12.28515625" style="111" customWidth="1"/>
    <col min="6666" max="6666" width="6.42578125" style="111" customWidth="1"/>
    <col min="6667" max="6667" width="9.140625" style="111" customWidth="1"/>
    <col min="6668" max="6668" width="6.85546875" style="111" customWidth="1"/>
    <col min="6669" max="6669" width="10.42578125" style="111" customWidth="1"/>
    <col min="6670" max="6670" width="10" style="111" customWidth="1"/>
    <col min="6671" max="6671" width="6.7109375" style="111" bestFit="1" customWidth="1"/>
    <col min="6672" max="6672" width="9.140625" style="111" customWidth="1"/>
    <col min="6673" max="6912" width="9.140625" style="111"/>
    <col min="6913" max="6913" width="82" style="111" customWidth="1"/>
    <col min="6914" max="6914" width="10.7109375" style="111" customWidth="1"/>
    <col min="6915" max="6915" width="8.5703125" style="111" customWidth="1"/>
    <col min="6916" max="6916" width="10.85546875" style="111" customWidth="1"/>
    <col min="6917" max="6917" width="8.85546875" style="111" customWidth="1"/>
    <col min="6918" max="6918" width="13.85546875" style="111" customWidth="1"/>
    <col min="6919" max="6919" width="11" style="111" customWidth="1"/>
    <col min="6920" max="6921" width="12.28515625" style="111" customWidth="1"/>
    <col min="6922" max="6922" width="6.42578125" style="111" customWidth="1"/>
    <col min="6923" max="6923" width="9.140625" style="111" customWidth="1"/>
    <col min="6924" max="6924" width="6.85546875" style="111" customWidth="1"/>
    <col min="6925" max="6925" width="10.42578125" style="111" customWidth="1"/>
    <col min="6926" max="6926" width="10" style="111" customWidth="1"/>
    <col min="6927" max="6927" width="6.7109375" style="111" bestFit="1" customWidth="1"/>
    <col min="6928" max="6928" width="9.140625" style="111" customWidth="1"/>
    <col min="6929" max="7168" width="9.140625" style="111"/>
    <col min="7169" max="7169" width="82" style="111" customWidth="1"/>
    <col min="7170" max="7170" width="10.7109375" style="111" customWidth="1"/>
    <col min="7171" max="7171" width="8.5703125" style="111" customWidth="1"/>
    <col min="7172" max="7172" width="10.85546875" style="111" customWidth="1"/>
    <col min="7173" max="7173" width="8.85546875" style="111" customWidth="1"/>
    <col min="7174" max="7174" width="13.85546875" style="111" customWidth="1"/>
    <col min="7175" max="7175" width="11" style="111" customWidth="1"/>
    <col min="7176" max="7177" width="12.28515625" style="111" customWidth="1"/>
    <col min="7178" max="7178" width="6.42578125" style="111" customWidth="1"/>
    <col min="7179" max="7179" width="9.140625" style="111" customWidth="1"/>
    <col min="7180" max="7180" width="6.85546875" style="111" customWidth="1"/>
    <col min="7181" max="7181" width="10.42578125" style="111" customWidth="1"/>
    <col min="7182" max="7182" width="10" style="111" customWidth="1"/>
    <col min="7183" max="7183" width="6.7109375" style="111" bestFit="1" customWidth="1"/>
    <col min="7184" max="7184" width="9.140625" style="111" customWidth="1"/>
    <col min="7185" max="7424" width="9.140625" style="111"/>
    <col min="7425" max="7425" width="82" style="111" customWidth="1"/>
    <col min="7426" max="7426" width="10.7109375" style="111" customWidth="1"/>
    <col min="7427" max="7427" width="8.5703125" style="111" customWidth="1"/>
    <col min="7428" max="7428" width="10.85546875" style="111" customWidth="1"/>
    <col min="7429" max="7429" width="8.85546875" style="111" customWidth="1"/>
    <col min="7430" max="7430" width="13.85546875" style="111" customWidth="1"/>
    <col min="7431" max="7431" width="11" style="111" customWidth="1"/>
    <col min="7432" max="7433" width="12.28515625" style="111" customWidth="1"/>
    <col min="7434" max="7434" width="6.42578125" style="111" customWidth="1"/>
    <col min="7435" max="7435" width="9.140625" style="111" customWidth="1"/>
    <col min="7436" max="7436" width="6.85546875" style="111" customWidth="1"/>
    <col min="7437" max="7437" width="10.42578125" style="111" customWidth="1"/>
    <col min="7438" max="7438" width="10" style="111" customWidth="1"/>
    <col min="7439" max="7439" width="6.7109375" style="111" bestFit="1" customWidth="1"/>
    <col min="7440" max="7440" width="9.140625" style="111" customWidth="1"/>
    <col min="7441" max="7680" width="9.140625" style="111"/>
    <col min="7681" max="7681" width="82" style="111" customWidth="1"/>
    <col min="7682" max="7682" width="10.7109375" style="111" customWidth="1"/>
    <col min="7683" max="7683" width="8.5703125" style="111" customWidth="1"/>
    <col min="7684" max="7684" width="10.85546875" style="111" customWidth="1"/>
    <col min="7685" max="7685" width="8.85546875" style="111" customWidth="1"/>
    <col min="7686" max="7686" width="13.85546875" style="111" customWidth="1"/>
    <col min="7687" max="7687" width="11" style="111" customWidth="1"/>
    <col min="7688" max="7689" width="12.28515625" style="111" customWidth="1"/>
    <col min="7690" max="7690" width="6.42578125" style="111" customWidth="1"/>
    <col min="7691" max="7691" width="9.140625" style="111" customWidth="1"/>
    <col min="7692" max="7692" width="6.85546875" style="111" customWidth="1"/>
    <col min="7693" max="7693" width="10.42578125" style="111" customWidth="1"/>
    <col min="7694" max="7694" width="10" style="111" customWidth="1"/>
    <col min="7695" max="7695" width="6.7109375" style="111" bestFit="1" customWidth="1"/>
    <col min="7696" max="7696" width="9.140625" style="111" customWidth="1"/>
    <col min="7697" max="7936" width="9.140625" style="111"/>
    <col min="7937" max="7937" width="82" style="111" customWidth="1"/>
    <col min="7938" max="7938" width="10.7109375" style="111" customWidth="1"/>
    <col min="7939" max="7939" width="8.5703125" style="111" customWidth="1"/>
    <col min="7940" max="7940" width="10.85546875" style="111" customWidth="1"/>
    <col min="7941" max="7941" width="8.85546875" style="111" customWidth="1"/>
    <col min="7942" max="7942" width="13.85546875" style="111" customWidth="1"/>
    <col min="7943" max="7943" width="11" style="111" customWidth="1"/>
    <col min="7944" max="7945" width="12.28515625" style="111" customWidth="1"/>
    <col min="7946" max="7946" width="6.42578125" style="111" customWidth="1"/>
    <col min="7947" max="7947" width="9.140625" style="111" customWidth="1"/>
    <col min="7948" max="7948" width="6.85546875" style="111" customWidth="1"/>
    <col min="7949" max="7949" width="10.42578125" style="111" customWidth="1"/>
    <col min="7950" max="7950" width="10" style="111" customWidth="1"/>
    <col min="7951" max="7951" width="6.7109375" style="111" bestFit="1" customWidth="1"/>
    <col min="7952" max="7952" width="9.140625" style="111" customWidth="1"/>
    <col min="7953" max="8192" width="9.140625" style="111"/>
    <col min="8193" max="8193" width="82" style="111" customWidth="1"/>
    <col min="8194" max="8194" width="10.7109375" style="111" customWidth="1"/>
    <col min="8195" max="8195" width="8.5703125" style="111" customWidth="1"/>
    <col min="8196" max="8196" width="10.85546875" style="111" customWidth="1"/>
    <col min="8197" max="8197" width="8.85546875" style="111" customWidth="1"/>
    <col min="8198" max="8198" width="13.85546875" style="111" customWidth="1"/>
    <col min="8199" max="8199" width="11" style="111" customWidth="1"/>
    <col min="8200" max="8201" width="12.28515625" style="111" customWidth="1"/>
    <col min="8202" max="8202" width="6.42578125" style="111" customWidth="1"/>
    <col min="8203" max="8203" width="9.140625" style="111" customWidth="1"/>
    <col min="8204" max="8204" width="6.85546875" style="111" customWidth="1"/>
    <col min="8205" max="8205" width="10.42578125" style="111" customWidth="1"/>
    <col min="8206" max="8206" width="10" style="111" customWidth="1"/>
    <col min="8207" max="8207" width="6.7109375" style="111" bestFit="1" customWidth="1"/>
    <col min="8208" max="8208" width="9.140625" style="111" customWidth="1"/>
    <col min="8209" max="8448" width="9.140625" style="111"/>
    <col min="8449" max="8449" width="82" style="111" customWidth="1"/>
    <col min="8450" max="8450" width="10.7109375" style="111" customWidth="1"/>
    <col min="8451" max="8451" width="8.5703125" style="111" customWidth="1"/>
    <col min="8452" max="8452" width="10.85546875" style="111" customWidth="1"/>
    <col min="8453" max="8453" width="8.85546875" style="111" customWidth="1"/>
    <col min="8454" max="8454" width="13.85546875" style="111" customWidth="1"/>
    <col min="8455" max="8455" width="11" style="111" customWidth="1"/>
    <col min="8456" max="8457" width="12.28515625" style="111" customWidth="1"/>
    <col min="8458" max="8458" width="6.42578125" style="111" customWidth="1"/>
    <col min="8459" max="8459" width="9.140625" style="111" customWidth="1"/>
    <col min="8460" max="8460" width="6.85546875" style="111" customWidth="1"/>
    <col min="8461" max="8461" width="10.42578125" style="111" customWidth="1"/>
    <col min="8462" max="8462" width="10" style="111" customWidth="1"/>
    <col min="8463" max="8463" width="6.7109375" style="111" bestFit="1" customWidth="1"/>
    <col min="8464" max="8464" width="9.140625" style="111" customWidth="1"/>
    <col min="8465" max="8704" width="9.140625" style="111"/>
    <col min="8705" max="8705" width="82" style="111" customWidth="1"/>
    <col min="8706" max="8706" width="10.7109375" style="111" customWidth="1"/>
    <col min="8707" max="8707" width="8.5703125" style="111" customWidth="1"/>
    <col min="8708" max="8708" width="10.85546875" style="111" customWidth="1"/>
    <col min="8709" max="8709" width="8.85546875" style="111" customWidth="1"/>
    <col min="8710" max="8710" width="13.85546875" style="111" customWidth="1"/>
    <col min="8711" max="8711" width="11" style="111" customWidth="1"/>
    <col min="8712" max="8713" width="12.28515625" style="111" customWidth="1"/>
    <col min="8714" max="8714" width="6.42578125" style="111" customWidth="1"/>
    <col min="8715" max="8715" width="9.140625" style="111" customWidth="1"/>
    <col min="8716" max="8716" width="6.85546875" style="111" customWidth="1"/>
    <col min="8717" max="8717" width="10.42578125" style="111" customWidth="1"/>
    <col min="8718" max="8718" width="10" style="111" customWidth="1"/>
    <col min="8719" max="8719" width="6.7109375" style="111" bestFit="1" customWidth="1"/>
    <col min="8720" max="8720" width="9.140625" style="111" customWidth="1"/>
    <col min="8721" max="8960" width="9.140625" style="111"/>
    <col min="8961" max="8961" width="82" style="111" customWidth="1"/>
    <col min="8962" max="8962" width="10.7109375" style="111" customWidth="1"/>
    <col min="8963" max="8963" width="8.5703125" style="111" customWidth="1"/>
    <col min="8964" max="8964" width="10.85546875" style="111" customWidth="1"/>
    <col min="8965" max="8965" width="8.85546875" style="111" customWidth="1"/>
    <col min="8966" max="8966" width="13.85546875" style="111" customWidth="1"/>
    <col min="8967" max="8967" width="11" style="111" customWidth="1"/>
    <col min="8968" max="8969" width="12.28515625" style="111" customWidth="1"/>
    <col min="8970" max="8970" width="6.42578125" style="111" customWidth="1"/>
    <col min="8971" max="8971" width="9.140625" style="111" customWidth="1"/>
    <col min="8972" max="8972" width="6.85546875" style="111" customWidth="1"/>
    <col min="8973" max="8973" width="10.42578125" style="111" customWidth="1"/>
    <col min="8974" max="8974" width="10" style="111" customWidth="1"/>
    <col min="8975" max="8975" width="6.7109375" style="111" bestFit="1" customWidth="1"/>
    <col min="8976" max="8976" width="9.140625" style="111" customWidth="1"/>
    <col min="8977" max="9216" width="9.140625" style="111"/>
    <col min="9217" max="9217" width="82" style="111" customWidth="1"/>
    <col min="9218" max="9218" width="10.7109375" style="111" customWidth="1"/>
    <col min="9219" max="9219" width="8.5703125" style="111" customWidth="1"/>
    <col min="9220" max="9220" width="10.85546875" style="111" customWidth="1"/>
    <col min="9221" max="9221" width="8.85546875" style="111" customWidth="1"/>
    <col min="9222" max="9222" width="13.85546875" style="111" customWidth="1"/>
    <col min="9223" max="9223" width="11" style="111" customWidth="1"/>
    <col min="9224" max="9225" width="12.28515625" style="111" customWidth="1"/>
    <col min="9226" max="9226" width="6.42578125" style="111" customWidth="1"/>
    <col min="9227" max="9227" width="9.140625" style="111" customWidth="1"/>
    <col min="9228" max="9228" width="6.85546875" style="111" customWidth="1"/>
    <col min="9229" max="9229" width="10.42578125" style="111" customWidth="1"/>
    <col min="9230" max="9230" width="10" style="111" customWidth="1"/>
    <col min="9231" max="9231" width="6.7109375" style="111" bestFit="1" customWidth="1"/>
    <col min="9232" max="9232" width="9.140625" style="111" customWidth="1"/>
    <col min="9233" max="9472" width="9.140625" style="111"/>
    <col min="9473" max="9473" width="82" style="111" customWidth="1"/>
    <col min="9474" max="9474" width="10.7109375" style="111" customWidth="1"/>
    <col min="9475" max="9475" width="8.5703125" style="111" customWidth="1"/>
    <col min="9476" max="9476" width="10.85546875" style="111" customWidth="1"/>
    <col min="9477" max="9477" width="8.85546875" style="111" customWidth="1"/>
    <col min="9478" max="9478" width="13.85546875" style="111" customWidth="1"/>
    <col min="9479" max="9479" width="11" style="111" customWidth="1"/>
    <col min="9480" max="9481" width="12.28515625" style="111" customWidth="1"/>
    <col min="9482" max="9482" width="6.42578125" style="111" customWidth="1"/>
    <col min="9483" max="9483" width="9.140625" style="111" customWidth="1"/>
    <col min="9484" max="9484" width="6.85546875" style="111" customWidth="1"/>
    <col min="9485" max="9485" width="10.42578125" style="111" customWidth="1"/>
    <col min="9486" max="9486" width="10" style="111" customWidth="1"/>
    <col min="9487" max="9487" width="6.7109375" style="111" bestFit="1" customWidth="1"/>
    <col min="9488" max="9488" width="9.140625" style="111" customWidth="1"/>
    <col min="9489" max="9728" width="9.140625" style="111"/>
    <col min="9729" max="9729" width="82" style="111" customWidth="1"/>
    <col min="9730" max="9730" width="10.7109375" style="111" customWidth="1"/>
    <col min="9731" max="9731" width="8.5703125" style="111" customWidth="1"/>
    <col min="9732" max="9732" width="10.85546875" style="111" customWidth="1"/>
    <col min="9733" max="9733" width="8.85546875" style="111" customWidth="1"/>
    <col min="9734" max="9734" width="13.85546875" style="111" customWidth="1"/>
    <col min="9735" max="9735" width="11" style="111" customWidth="1"/>
    <col min="9736" max="9737" width="12.28515625" style="111" customWidth="1"/>
    <col min="9738" max="9738" width="6.42578125" style="111" customWidth="1"/>
    <col min="9739" max="9739" width="9.140625" style="111" customWidth="1"/>
    <col min="9740" max="9740" width="6.85546875" style="111" customWidth="1"/>
    <col min="9741" max="9741" width="10.42578125" style="111" customWidth="1"/>
    <col min="9742" max="9742" width="10" style="111" customWidth="1"/>
    <col min="9743" max="9743" width="6.7109375" style="111" bestFit="1" customWidth="1"/>
    <col min="9744" max="9744" width="9.140625" style="111" customWidth="1"/>
    <col min="9745" max="9984" width="9.140625" style="111"/>
    <col min="9985" max="9985" width="82" style="111" customWidth="1"/>
    <col min="9986" max="9986" width="10.7109375" style="111" customWidth="1"/>
    <col min="9987" max="9987" width="8.5703125" style="111" customWidth="1"/>
    <col min="9988" max="9988" width="10.85546875" style="111" customWidth="1"/>
    <col min="9989" max="9989" width="8.85546875" style="111" customWidth="1"/>
    <col min="9990" max="9990" width="13.85546875" style="111" customWidth="1"/>
    <col min="9991" max="9991" width="11" style="111" customWidth="1"/>
    <col min="9992" max="9993" width="12.28515625" style="111" customWidth="1"/>
    <col min="9994" max="9994" width="6.42578125" style="111" customWidth="1"/>
    <col min="9995" max="9995" width="9.140625" style="111" customWidth="1"/>
    <col min="9996" max="9996" width="6.85546875" style="111" customWidth="1"/>
    <col min="9997" max="9997" width="10.42578125" style="111" customWidth="1"/>
    <col min="9998" max="9998" width="10" style="111" customWidth="1"/>
    <col min="9999" max="9999" width="6.7109375" style="111" bestFit="1" customWidth="1"/>
    <col min="10000" max="10000" width="9.140625" style="111" customWidth="1"/>
    <col min="10001" max="10240" width="9.140625" style="111"/>
    <col min="10241" max="10241" width="82" style="111" customWidth="1"/>
    <col min="10242" max="10242" width="10.7109375" style="111" customWidth="1"/>
    <col min="10243" max="10243" width="8.5703125" style="111" customWidth="1"/>
    <col min="10244" max="10244" width="10.85546875" style="111" customWidth="1"/>
    <col min="10245" max="10245" width="8.85546875" style="111" customWidth="1"/>
    <col min="10246" max="10246" width="13.85546875" style="111" customWidth="1"/>
    <col min="10247" max="10247" width="11" style="111" customWidth="1"/>
    <col min="10248" max="10249" width="12.28515625" style="111" customWidth="1"/>
    <col min="10250" max="10250" width="6.42578125" style="111" customWidth="1"/>
    <col min="10251" max="10251" width="9.140625" style="111" customWidth="1"/>
    <col min="10252" max="10252" width="6.85546875" style="111" customWidth="1"/>
    <col min="10253" max="10253" width="10.42578125" style="111" customWidth="1"/>
    <col min="10254" max="10254" width="10" style="111" customWidth="1"/>
    <col min="10255" max="10255" width="6.7109375" style="111" bestFit="1" customWidth="1"/>
    <col min="10256" max="10256" width="9.140625" style="111" customWidth="1"/>
    <col min="10257" max="10496" width="9.140625" style="111"/>
    <col min="10497" max="10497" width="82" style="111" customWidth="1"/>
    <col min="10498" max="10498" width="10.7109375" style="111" customWidth="1"/>
    <col min="10499" max="10499" width="8.5703125" style="111" customWidth="1"/>
    <col min="10500" max="10500" width="10.85546875" style="111" customWidth="1"/>
    <col min="10501" max="10501" width="8.85546875" style="111" customWidth="1"/>
    <col min="10502" max="10502" width="13.85546875" style="111" customWidth="1"/>
    <col min="10503" max="10503" width="11" style="111" customWidth="1"/>
    <col min="10504" max="10505" width="12.28515625" style="111" customWidth="1"/>
    <col min="10506" max="10506" width="6.42578125" style="111" customWidth="1"/>
    <col min="10507" max="10507" width="9.140625" style="111" customWidth="1"/>
    <col min="10508" max="10508" width="6.85546875" style="111" customWidth="1"/>
    <col min="10509" max="10509" width="10.42578125" style="111" customWidth="1"/>
    <col min="10510" max="10510" width="10" style="111" customWidth="1"/>
    <col min="10511" max="10511" width="6.7109375" style="111" bestFit="1" customWidth="1"/>
    <col min="10512" max="10512" width="9.140625" style="111" customWidth="1"/>
    <col min="10513" max="10752" width="9.140625" style="111"/>
    <col min="10753" max="10753" width="82" style="111" customWidth="1"/>
    <col min="10754" max="10754" width="10.7109375" style="111" customWidth="1"/>
    <col min="10755" max="10755" width="8.5703125" style="111" customWidth="1"/>
    <col min="10756" max="10756" width="10.85546875" style="111" customWidth="1"/>
    <col min="10757" max="10757" width="8.85546875" style="111" customWidth="1"/>
    <col min="10758" max="10758" width="13.85546875" style="111" customWidth="1"/>
    <col min="10759" max="10759" width="11" style="111" customWidth="1"/>
    <col min="10760" max="10761" width="12.28515625" style="111" customWidth="1"/>
    <col min="10762" max="10762" width="6.42578125" style="111" customWidth="1"/>
    <col min="10763" max="10763" width="9.140625" style="111" customWidth="1"/>
    <col min="10764" max="10764" width="6.85546875" style="111" customWidth="1"/>
    <col min="10765" max="10765" width="10.42578125" style="111" customWidth="1"/>
    <col min="10766" max="10766" width="10" style="111" customWidth="1"/>
    <col min="10767" max="10767" width="6.7109375" style="111" bestFit="1" customWidth="1"/>
    <col min="10768" max="10768" width="9.140625" style="111" customWidth="1"/>
    <col min="10769" max="11008" width="9.140625" style="111"/>
    <col min="11009" max="11009" width="82" style="111" customWidth="1"/>
    <col min="11010" max="11010" width="10.7109375" style="111" customWidth="1"/>
    <col min="11011" max="11011" width="8.5703125" style="111" customWidth="1"/>
    <col min="11012" max="11012" width="10.85546875" style="111" customWidth="1"/>
    <col min="11013" max="11013" width="8.85546875" style="111" customWidth="1"/>
    <col min="11014" max="11014" width="13.85546875" style="111" customWidth="1"/>
    <col min="11015" max="11015" width="11" style="111" customWidth="1"/>
    <col min="11016" max="11017" width="12.28515625" style="111" customWidth="1"/>
    <col min="11018" max="11018" width="6.42578125" style="111" customWidth="1"/>
    <col min="11019" max="11019" width="9.140625" style="111" customWidth="1"/>
    <col min="11020" max="11020" width="6.85546875" style="111" customWidth="1"/>
    <col min="11021" max="11021" width="10.42578125" style="111" customWidth="1"/>
    <col min="11022" max="11022" width="10" style="111" customWidth="1"/>
    <col min="11023" max="11023" width="6.7109375" style="111" bestFit="1" customWidth="1"/>
    <col min="11024" max="11024" width="9.140625" style="111" customWidth="1"/>
    <col min="11025" max="11264" width="9.140625" style="111"/>
    <col min="11265" max="11265" width="82" style="111" customWidth="1"/>
    <col min="11266" max="11266" width="10.7109375" style="111" customWidth="1"/>
    <col min="11267" max="11267" width="8.5703125" style="111" customWidth="1"/>
    <col min="11268" max="11268" width="10.85546875" style="111" customWidth="1"/>
    <col min="11269" max="11269" width="8.85546875" style="111" customWidth="1"/>
    <col min="11270" max="11270" width="13.85546875" style="111" customWidth="1"/>
    <col min="11271" max="11271" width="11" style="111" customWidth="1"/>
    <col min="11272" max="11273" width="12.28515625" style="111" customWidth="1"/>
    <col min="11274" max="11274" width="6.42578125" style="111" customWidth="1"/>
    <col min="11275" max="11275" width="9.140625" style="111" customWidth="1"/>
    <col min="11276" max="11276" width="6.85546875" style="111" customWidth="1"/>
    <col min="11277" max="11277" width="10.42578125" style="111" customWidth="1"/>
    <col min="11278" max="11278" width="10" style="111" customWidth="1"/>
    <col min="11279" max="11279" width="6.7109375" style="111" bestFit="1" customWidth="1"/>
    <col min="11280" max="11280" width="9.140625" style="111" customWidth="1"/>
    <col min="11281" max="11520" width="9.140625" style="111"/>
    <col min="11521" max="11521" width="82" style="111" customWidth="1"/>
    <col min="11522" max="11522" width="10.7109375" style="111" customWidth="1"/>
    <col min="11523" max="11523" width="8.5703125" style="111" customWidth="1"/>
    <col min="11524" max="11524" width="10.85546875" style="111" customWidth="1"/>
    <col min="11525" max="11525" width="8.85546875" style="111" customWidth="1"/>
    <col min="11526" max="11526" width="13.85546875" style="111" customWidth="1"/>
    <col min="11527" max="11527" width="11" style="111" customWidth="1"/>
    <col min="11528" max="11529" width="12.28515625" style="111" customWidth="1"/>
    <col min="11530" max="11530" width="6.42578125" style="111" customWidth="1"/>
    <col min="11531" max="11531" width="9.140625" style="111" customWidth="1"/>
    <col min="11532" max="11532" width="6.85546875" style="111" customWidth="1"/>
    <col min="11533" max="11533" width="10.42578125" style="111" customWidth="1"/>
    <col min="11534" max="11534" width="10" style="111" customWidth="1"/>
    <col min="11535" max="11535" width="6.7109375" style="111" bestFit="1" customWidth="1"/>
    <col min="11536" max="11536" width="9.140625" style="111" customWidth="1"/>
    <col min="11537" max="11776" width="9.140625" style="111"/>
    <col min="11777" max="11777" width="82" style="111" customWidth="1"/>
    <col min="11778" max="11778" width="10.7109375" style="111" customWidth="1"/>
    <col min="11779" max="11779" width="8.5703125" style="111" customWidth="1"/>
    <col min="11780" max="11780" width="10.85546875" style="111" customWidth="1"/>
    <col min="11781" max="11781" width="8.85546875" style="111" customWidth="1"/>
    <col min="11782" max="11782" width="13.85546875" style="111" customWidth="1"/>
    <col min="11783" max="11783" width="11" style="111" customWidth="1"/>
    <col min="11784" max="11785" width="12.28515625" style="111" customWidth="1"/>
    <col min="11786" max="11786" width="6.42578125" style="111" customWidth="1"/>
    <col min="11787" max="11787" width="9.140625" style="111" customWidth="1"/>
    <col min="11788" max="11788" width="6.85546875" style="111" customWidth="1"/>
    <col min="11789" max="11789" width="10.42578125" style="111" customWidth="1"/>
    <col min="11790" max="11790" width="10" style="111" customWidth="1"/>
    <col min="11791" max="11791" width="6.7109375" style="111" bestFit="1" customWidth="1"/>
    <col min="11792" max="11792" width="9.140625" style="111" customWidth="1"/>
    <col min="11793" max="12032" width="9.140625" style="111"/>
    <col min="12033" max="12033" width="82" style="111" customWidth="1"/>
    <col min="12034" max="12034" width="10.7109375" style="111" customWidth="1"/>
    <col min="12035" max="12035" width="8.5703125" style="111" customWidth="1"/>
    <col min="12036" max="12036" width="10.85546875" style="111" customWidth="1"/>
    <col min="12037" max="12037" width="8.85546875" style="111" customWidth="1"/>
    <col min="12038" max="12038" width="13.85546875" style="111" customWidth="1"/>
    <col min="12039" max="12039" width="11" style="111" customWidth="1"/>
    <col min="12040" max="12041" width="12.28515625" style="111" customWidth="1"/>
    <col min="12042" max="12042" width="6.42578125" style="111" customWidth="1"/>
    <col min="12043" max="12043" width="9.140625" style="111" customWidth="1"/>
    <col min="12044" max="12044" width="6.85546875" style="111" customWidth="1"/>
    <col min="12045" max="12045" width="10.42578125" style="111" customWidth="1"/>
    <col min="12046" max="12046" width="10" style="111" customWidth="1"/>
    <col min="12047" max="12047" width="6.7109375" style="111" bestFit="1" customWidth="1"/>
    <col min="12048" max="12048" width="9.140625" style="111" customWidth="1"/>
    <col min="12049" max="12288" width="9.140625" style="111"/>
    <col min="12289" max="12289" width="82" style="111" customWidth="1"/>
    <col min="12290" max="12290" width="10.7109375" style="111" customWidth="1"/>
    <col min="12291" max="12291" width="8.5703125" style="111" customWidth="1"/>
    <col min="12292" max="12292" width="10.85546875" style="111" customWidth="1"/>
    <col min="12293" max="12293" width="8.85546875" style="111" customWidth="1"/>
    <col min="12294" max="12294" width="13.85546875" style="111" customWidth="1"/>
    <col min="12295" max="12295" width="11" style="111" customWidth="1"/>
    <col min="12296" max="12297" width="12.28515625" style="111" customWidth="1"/>
    <col min="12298" max="12298" width="6.42578125" style="111" customWidth="1"/>
    <col min="12299" max="12299" width="9.140625" style="111" customWidth="1"/>
    <col min="12300" max="12300" width="6.85546875" style="111" customWidth="1"/>
    <col min="12301" max="12301" width="10.42578125" style="111" customWidth="1"/>
    <col min="12302" max="12302" width="10" style="111" customWidth="1"/>
    <col min="12303" max="12303" width="6.7109375" style="111" bestFit="1" customWidth="1"/>
    <col min="12304" max="12304" width="9.140625" style="111" customWidth="1"/>
    <col min="12305" max="12544" width="9.140625" style="111"/>
    <col min="12545" max="12545" width="82" style="111" customWidth="1"/>
    <col min="12546" max="12546" width="10.7109375" style="111" customWidth="1"/>
    <col min="12547" max="12547" width="8.5703125" style="111" customWidth="1"/>
    <col min="12548" max="12548" width="10.85546875" style="111" customWidth="1"/>
    <col min="12549" max="12549" width="8.85546875" style="111" customWidth="1"/>
    <col min="12550" max="12550" width="13.85546875" style="111" customWidth="1"/>
    <col min="12551" max="12551" width="11" style="111" customWidth="1"/>
    <col min="12552" max="12553" width="12.28515625" style="111" customWidth="1"/>
    <col min="12554" max="12554" width="6.42578125" style="111" customWidth="1"/>
    <col min="12555" max="12555" width="9.140625" style="111" customWidth="1"/>
    <col min="12556" max="12556" width="6.85546875" style="111" customWidth="1"/>
    <col min="12557" max="12557" width="10.42578125" style="111" customWidth="1"/>
    <col min="12558" max="12558" width="10" style="111" customWidth="1"/>
    <col min="12559" max="12559" width="6.7109375" style="111" bestFit="1" customWidth="1"/>
    <col min="12560" max="12560" width="9.140625" style="111" customWidth="1"/>
    <col min="12561" max="12800" width="9.140625" style="111"/>
    <col min="12801" max="12801" width="82" style="111" customWidth="1"/>
    <col min="12802" max="12802" width="10.7109375" style="111" customWidth="1"/>
    <col min="12803" max="12803" width="8.5703125" style="111" customWidth="1"/>
    <col min="12804" max="12804" width="10.85546875" style="111" customWidth="1"/>
    <col min="12805" max="12805" width="8.85546875" style="111" customWidth="1"/>
    <col min="12806" max="12806" width="13.85546875" style="111" customWidth="1"/>
    <col min="12807" max="12807" width="11" style="111" customWidth="1"/>
    <col min="12808" max="12809" width="12.28515625" style="111" customWidth="1"/>
    <col min="12810" max="12810" width="6.42578125" style="111" customWidth="1"/>
    <col min="12811" max="12811" width="9.140625" style="111" customWidth="1"/>
    <col min="12812" max="12812" width="6.85546875" style="111" customWidth="1"/>
    <col min="12813" max="12813" width="10.42578125" style="111" customWidth="1"/>
    <col min="12814" max="12814" width="10" style="111" customWidth="1"/>
    <col min="12815" max="12815" width="6.7109375" style="111" bestFit="1" customWidth="1"/>
    <col min="12816" max="12816" width="9.140625" style="111" customWidth="1"/>
    <col min="12817" max="13056" width="9.140625" style="111"/>
    <col min="13057" max="13057" width="82" style="111" customWidth="1"/>
    <col min="13058" max="13058" width="10.7109375" style="111" customWidth="1"/>
    <col min="13059" max="13059" width="8.5703125" style="111" customWidth="1"/>
    <col min="13060" max="13060" width="10.85546875" style="111" customWidth="1"/>
    <col min="13061" max="13061" width="8.85546875" style="111" customWidth="1"/>
    <col min="13062" max="13062" width="13.85546875" style="111" customWidth="1"/>
    <col min="13063" max="13063" width="11" style="111" customWidth="1"/>
    <col min="13064" max="13065" width="12.28515625" style="111" customWidth="1"/>
    <col min="13066" max="13066" width="6.42578125" style="111" customWidth="1"/>
    <col min="13067" max="13067" width="9.140625" style="111" customWidth="1"/>
    <col min="13068" max="13068" width="6.85546875" style="111" customWidth="1"/>
    <col min="13069" max="13069" width="10.42578125" style="111" customWidth="1"/>
    <col min="13070" max="13070" width="10" style="111" customWidth="1"/>
    <col min="13071" max="13071" width="6.7109375" style="111" bestFit="1" customWidth="1"/>
    <col min="13072" max="13072" width="9.140625" style="111" customWidth="1"/>
    <col min="13073" max="13312" width="9.140625" style="111"/>
    <col min="13313" max="13313" width="82" style="111" customWidth="1"/>
    <col min="13314" max="13314" width="10.7109375" style="111" customWidth="1"/>
    <col min="13315" max="13315" width="8.5703125" style="111" customWidth="1"/>
    <col min="13316" max="13316" width="10.85546875" style="111" customWidth="1"/>
    <col min="13317" max="13317" width="8.85546875" style="111" customWidth="1"/>
    <col min="13318" max="13318" width="13.85546875" style="111" customWidth="1"/>
    <col min="13319" max="13319" width="11" style="111" customWidth="1"/>
    <col min="13320" max="13321" width="12.28515625" style="111" customWidth="1"/>
    <col min="13322" max="13322" width="6.42578125" style="111" customWidth="1"/>
    <col min="13323" max="13323" width="9.140625" style="111" customWidth="1"/>
    <col min="13324" max="13324" width="6.85546875" style="111" customWidth="1"/>
    <col min="13325" max="13325" width="10.42578125" style="111" customWidth="1"/>
    <col min="13326" max="13326" width="10" style="111" customWidth="1"/>
    <col min="13327" max="13327" width="6.7109375" style="111" bestFit="1" customWidth="1"/>
    <col min="13328" max="13328" width="9.140625" style="111" customWidth="1"/>
    <col min="13329" max="13568" width="9.140625" style="111"/>
    <col min="13569" max="13569" width="82" style="111" customWidth="1"/>
    <col min="13570" max="13570" width="10.7109375" style="111" customWidth="1"/>
    <col min="13571" max="13571" width="8.5703125" style="111" customWidth="1"/>
    <col min="13572" max="13572" width="10.85546875" style="111" customWidth="1"/>
    <col min="13573" max="13573" width="8.85546875" style="111" customWidth="1"/>
    <col min="13574" max="13574" width="13.85546875" style="111" customWidth="1"/>
    <col min="13575" max="13575" width="11" style="111" customWidth="1"/>
    <col min="13576" max="13577" width="12.28515625" style="111" customWidth="1"/>
    <col min="13578" max="13578" width="6.42578125" style="111" customWidth="1"/>
    <col min="13579" max="13579" width="9.140625" style="111" customWidth="1"/>
    <col min="13580" max="13580" width="6.85546875" style="111" customWidth="1"/>
    <col min="13581" max="13581" width="10.42578125" style="111" customWidth="1"/>
    <col min="13582" max="13582" width="10" style="111" customWidth="1"/>
    <col min="13583" max="13583" width="6.7109375" style="111" bestFit="1" customWidth="1"/>
    <col min="13584" max="13584" width="9.140625" style="111" customWidth="1"/>
    <col min="13585" max="13824" width="9.140625" style="111"/>
    <col min="13825" max="13825" width="82" style="111" customWidth="1"/>
    <col min="13826" max="13826" width="10.7109375" style="111" customWidth="1"/>
    <col min="13827" max="13827" width="8.5703125" style="111" customWidth="1"/>
    <col min="13828" max="13828" width="10.85546875" style="111" customWidth="1"/>
    <col min="13829" max="13829" width="8.85546875" style="111" customWidth="1"/>
    <col min="13830" max="13830" width="13.85546875" style="111" customWidth="1"/>
    <col min="13831" max="13831" width="11" style="111" customWidth="1"/>
    <col min="13832" max="13833" width="12.28515625" style="111" customWidth="1"/>
    <col min="13834" max="13834" width="6.42578125" style="111" customWidth="1"/>
    <col min="13835" max="13835" width="9.140625" style="111" customWidth="1"/>
    <col min="13836" max="13836" width="6.85546875" style="111" customWidth="1"/>
    <col min="13837" max="13837" width="10.42578125" style="111" customWidth="1"/>
    <col min="13838" max="13838" width="10" style="111" customWidth="1"/>
    <col min="13839" max="13839" width="6.7109375" style="111" bestFit="1" customWidth="1"/>
    <col min="13840" max="13840" width="9.140625" style="111" customWidth="1"/>
    <col min="13841" max="14080" width="9.140625" style="111"/>
    <col min="14081" max="14081" width="82" style="111" customWidth="1"/>
    <col min="14082" max="14082" width="10.7109375" style="111" customWidth="1"/>
    <col min="14083" max="14083" width="8.5703125" style="111" customWidth="1"/>
    <col min="14084" max="14084" width="10.85546875" style="111" customWidth="1"/>
    <col min="14085" max="14085" width="8.85546875" style="111" customWidth="1"/>
    <col min="14086" max="14086" width="13.85546875" style="111" customWidth="1"/>
    <col min="14087" max="14087" width="11" style="111" customWidth="1"/>
    <col min="14088" max="14089" width="12.28515625" style="111" customWidth="1"/>
    <col min="14090" max="14090" width="6.42578125" style="111" customWidth="1"/>
    <col min="14091" max="14091" width="9.140625" style="111" customWidth="1"/>
    <col min="14092" max="14092" width="6.85546875" style="111" customWidth="1"/>
    <col min="14093" max="14093" width="10.42578125" style="111" customWidth="1"/>
    <col min="14094" max="14094" width="10" style="111" customWidth="1"/>
    <col min="14095" max="14095" width="6.7109375" style="111" bestFit="1" customWidth="1"/>
    <col min="14096" max="14096" width="9.140625" style="111" customWidth="1"/>
    <col min="14097" max="14336" width="9.140625" style="111"/>
    <col min="14337" max="14337" width="82" style="111" customWidth="1"/>
    <col min="14338" max="14338" width="10.7109375" style="111" customWidth="1"/>
    <col min="14339" max="14339" width="8.5703125" style="111" customWidth="1"/>
    <col min="14340" max="14340" width="10.85546875" style="111" customWidth="1"/>
    <col min="14341" max="14341" width="8.85546875" style="111" customWidth="1"/>
    <col min="14342" max="14342" width="13.85546875" style="111" customWidth="1"/>
    <col min="14343" max="14343" width="11" style="111" customWidth="1"/>
    <col min="14344" max="14345" width="12.28515625" style="111" customWidth="1"/>
    <col min="14346" max="14346" width="6.42578125" style="111" customWidth="1"/>
    <col min="14347" max="14347" width="9.140625" style="111" customWidth="1"/>
    <col min="14348" max="14348" width="6.85546875" style="111" customWidth="1"/>
    <col min="14349" max="14349" width="10.42578125" style="111" customWidth="1"/>
    <col min="14350" max="14350" width="10" style="111" customWidth="1"/>
    <col min="14351" max="14351" width="6.7109375" style="111" bestFit="1" customWidth="1"/>
    <col min="14352" max="14352" width="9.140625" style="111" customWidth="1"/>
    <col min="14353" max="14592" width="9.140625" style="111"/>
    <col min="14593" max="14593" width="82" style="111" customWidth="1"/>
    <col min="14594" max="14594" width="10.7109375" style="111" customWidth="1"/>
    <col min="14595" max="14595" width="8.5703125" style="111" customWidth="1"/>
    <col min="14596" max="14596" width="10.85546875" style="111" customWidth="1"/>
    <col min="14597" max="14597" width="8.85546875" style="111" customWidth="1"/>
    <col min="14598" max="14598" width="13.85546875" style="111" customWidth="1"/>
    <col min="14599" max="14599" width="11" style="111" customWidth="1"/>
    <col min="14600" max="14601" width="12.28515625" style="111" customWidth="1"/>
    <col min="14602" max="14602" width="6.42578125" style="111" customWidth="1"/>
    <col min="14603" max="14603" width="9.140625" style="111" customWidth="1"/>
    <col min="14604" max="14604" width="6.85546875" style="111" customWidth="1"/>
    <col min="14605" max="14605" width="10.42578125" style="111" customWidth="1"/>
    <col min="14606" max="14606" width="10" style="111" customWidth="1"/>
    <col min="14607" max="14607" width="6.7109375" style="111" bestFit="1" customWidth="1"/>
    <col min="14608" max="14608" width="9.140625" style="111" customWidth="1"/>
    <col min="14609" max="14848" width="9.140625" style="111"/>
    <col min="14849" max="14849" width="82" style="111" customWidth="1"/>
    <col min="14850" max="14850" width="10.7109375" style="111" customWidth="1"/>
    <col min="14851" max="14851" width="8.5703125" style="111" customWidth="1"/>
    <col min="14852" max="14852" width="10.85546875" style="111" customWidth="1"/>
    <col min="14853" max="14853" width="8.85546875" style="111" customWidth="1"/>
    <col min="14854" max="14854" width="13.85546875" style="111" customWidth="1"/>
    <col min="14855" max="14855" width="11" style="111" customWidth="1"/>
    <col min="14856" max="14857" width="12.28515625" style="111" customWidth="1"/>
    <col min="14858" max="14858" width="6.42578125" style="111" customWidth="1"/>
    <col min="14859" max="14859" width="9.140625" style="111" customWidth="1"/>
    <col min="14860" max="14860" width="6.85546875" style="111" customWidth="1"/>
    <col min="14861" max="14861" width="10.42578125" style="111" customWidth="1"/>
    <col min="14862" max="14862" width="10" style="111" customWidth="1"/>
    <col min="14863" max="14863" width="6.7109375" style="111" bestFit="1" customWidth="1"/>
    <col min="14864" max="14864" width="9.140625" style="111" customWidth="1"/>
    <col min="14865" max="15104" width="9.140625" style="111"/>
    <col min="15105" max="15105" width="82" style="111" customWidth="1"/>
    <col min="15106" max="15106" width="10.7109375" style="111" customWidth="1"/>
    <col min="15107" max="15107" width="8.5703125" style="111" customWidth="1"/>
    <col min="15108" max="15108" width="10.85546875" style="111" customWidth="1"/>
    <col min="15109" max="15109" width="8.85546875" style="111" customWidth="1"/>
    <col min="15110" max="15110" width="13.85546875" style="111" customWidth="1"/>
    <col min="15111" max="15111" width="11" style="111" customWidth="1"/>
    <col min="15112" max="15113" width="12.28515625" style="111" customWidth="1"/>
    <col min="15114" max="15114" width="6.42578125" style="111" customWidth="1"/>
    <col min="15115" max="15115" width="9.140625" style="111" customWidth="1"/>
    <col min="15116" max="15116" width="6.85546875" style="111" customWidth="1"/>
    <col min="15117" max="15117" width="10.42578125" style="111" customWidth="1"/>
    <col min="15118" max="15118" width="10" style="111" customWidth="1"/>
    <col min="15119" max="15119" width="6.7109375" style="111" bestFit="1" customWidth="1"/>
    <col min="15120" max="15120" width="9.140625" style="111" customWidth="1"/>
    <col min="15121" max="15360" width="9.140625" style="111"/>
    <col min="15361" max="15361" width="82" style="111" customWidth="1"/>
    <col min="15362" max="15362" width="10.7109375" style="111" customWidth="1"/>
    <col min="15363" max="15363" width="8.5703125" style="111" customWidth="1"/>
    <col min="15364" max="15364" width="10.85546875" style="111" customWidth="1"/>
    <col min="15365" max="15365" width="8.85546875" style="111" customWidth="1"/>
    <col min="15366" max="15366" width="13.85546875" style="111" customWidth="1"/>
    <col min="15367" max="15367" width="11" style="111" customWidth="1"/>
    <col min="15368" max="15369" width="12.28515625" style="111" customWidth="1"/>
    <col min="15370" max="15370" width="6.42578125" style="111" customWidth="1"/>
    <col min="15371" max="15371" width="9.140625" style="111" customWidth="1"/>
    <col min="15372" max="15372" width="6.85546875" style="111" customWidth="1"/>
    <col min="15373" max="15373" width="10.42578125" style="111" customWidth="1"/>
    <col min="15374" max="15374" width="10" style="111" customWidth="1"/>
    <col min="15375" max="15375" width="6.7109375" style="111" bestFit="1" customWidth="1"/>
    <col min="15376" max="15376" width="9.140625" style="111" customWidth="1"/>
    <col min="15377" max="15616" width="9.140625" style="111"/>
    <col min="15617" max="15617" width="82" style="111" customWidth="1"/>
    <col min="15618" max="15618" width="10.7109375" style="111" customWidth="1"/>
    <col min="15619" max="15619" width="8.5703125" style="111" customWidth="1"/>
    <col min="15620" max="15620" width="10.85546875" style="111" customWidth="1"/>
    <col min="15621" max="15621" width="8.85546875" style="111" customWidth="1"/>
    <col min="15622" max="15622" width="13.85546875" style="111" customWidth="1"/>
    <col min="15623" max="15623" width="11" style="111" customWidth="1"/>
    <col min="15624" max="15625" width="12.28515625" style="111" customWidth="1"/>
    <col min="15626" max="15626" width="6.42578125" style="111" customWidth="1"/>
    <col min="15627" max="15627" width="9.140625" style="111" customWidth="1"/>
    <col min="15628" max="15628" width="6.85546875" style="111" customWidth="1"/>
    <col min="15629" max="15629" width="10.42578125" style="111" customWidth="1"/>
    <col min="15630" max="15630" width="10" style="111" customWidth="1"/>
    <col min="15631" max="15631" width="6.7109375" style="111" bestFit="1" customWidth="1"/>
    <col min="15632" max="15632" width="9.140625" style="111" customWidth="1"/>
    <col min="15633" max="15872" width="9.140625" style="111"/>
    <col min="15873" max="15873" width="82" style="111" customWidth="1"/>
    <col min="15874" max="15874" width="10.7109375" style="111" customWidth="1"/>
    <col min="15875" max="15875" width="8.5703125" style="111" customWidth="1"/>
    <col min="15876" max="15876" width="10.85546875" style="111" customWidth="1"/>
    <col min="15877" max="15877" width="8.85546875" style="111" customWidth="1"/>
    <col min="15878" max="15878" width="13.85546875" style="111" customWidth="1"/>
    <col min="15879" max="15879" width="11" style="111" customWidth="1"/>
    <col min="15880" max="15881" width="12.28515625" style="111" customWidth="1"/>
    <col min="15882" max="15882" width="6.42578125" style="111" customWidth="1"/>
    <col min="15883" max="15883" width="9.140625" style="111" customWidth="1"/>
    <col min="15884" max="15884" width="6.85546875" style="111" customWidth="1"/>
    <col min="15885" max="15885" width="10.42578125" style="111" customWidth="1"/>
    <col min="15886" max="15886" width="10" style="111" customWidth="1"/>
    <col min="15887" max="15887" width="6.7109375" style="111" bestFit="1" customWidth="1"/>
    <col min="15888" max="15888" width="9.140625" style="111" customWidth="1"/>
    <col min="15889" max="16128" width="9.140625" style="111"/>
    <col min="16129" max="16129" width="82" style="111" customWidth="1"/>
    <col min="16130" max="16130" width="10.7109375" style="111" customWidth="1"/>
    <col min="16131" max="16131" width="8.5703125" style="111" customWidth="1"/>
    <col min="16132" max="16132" width="10.85546875" style="111" customWidth="1"/>
    <col min="16133" max="16133" width="8.85546875" style="111" customWidth="1"/>
    <col min="16134" max="16134" width="13.85546875" style="111" customWidth="1"/>
    <col min="16135" max="16135" width="11" style="111" customWidth="1"/>
    <col min="16136" max="16137" width="12.28515625" style="111" customWidth="1"/>
    <col min="16138" max="16138" width="6.42578125" style="111" customWidth="1"/>
    <col min="16139" max="16139" width="9.140625" style="111" customWidth="1"/>
    <col min="16140" max="16140" width="6.85546875" style="111" customWidth="1"/>
    <col min="16141" max="16141" width="10.42578125" style="111" customWidth="1"/>
    <col min="16142" max="16142" width="10" style="111" customWidth="1"/>
    <col min="16143" max="16143" width="6.7109375" style="111" bestFit="1" customWidth="1"/>
    <col min="16144" max="16144" width="9.140625" style="111" customWidth="1"/>
    <col min="16145" max="16384" width="9.140625" style="111"/>
  </cols>
  <sheetData>
    <row r="1" spans="1:20" s="90" customFormat="1">
      <c r="A1" s="87" t="s">
        <v>18</v>
      </c>
      <c r="B1" s="88"/>
      <c r="C1" s="88"/>
      <c r="D1" s="88"/>
      <c r="E1" s="89"/>
    </row>
    <row r="2" spans="1:20" s="90" customFormat="1">
      <c r="A2" s="87" t="s">
        <v>19</v>
      </c>
      <c r="B2" s="88"/>
      <c r="C2" s="88"/>
      <c r="D2" s="88"/>
      <c r="E2" s="89"/>
    </row>
    <row r="3" spans="1:20" s="90" customFormat="1">
      <c r="A3" s="87"/>
      <c r="B3" s="88"/>
      <c r="C3" s="88"/>
      <c r="D3" s="88"/>
      <c r="E3" s="89"/>
    </row>
    <row r="4" spans="1:20" s="90" customFormat="1">
      <c r="A4" s="1077" t="s">
        <v>355</v>
      </c>
      <c r="B4" s="1077"/>
      <c r="C4" s="1077"/>
      <c r="D4" s="1077"/>
      <c r="E4" s="1077"/>
      <c r="F4" s="1077"/>
      <c r="G4" s="1077"/>
      <c r="H4" s="1077"/>
      <c r="I4" s="1077"/>
      <c r="J4" s="1077"/>
      <c r="K4" s="1077"/>
      <c r="L4" s="1077"/>
      <c r="M4" s="1077"/>
      <c r="N4" s="1077"/>
      <c r="O4" s="1077"/>
      <c r="P4" s="1077"/>
      <c r="Q4" s="1077"/>
    </row>
    <row r="5" spans="1:20" s="143" customFormat="1" ht="12" customHeight="1">
      <c r="A5" s="1078" t="s">
        <v>319</v>
      </c>
      <c r="B5" s="1085" t="s">
        <v>23</v>
      </c>
      <c r="C5" s="1085" t="s">
        <v>24</v>
      </c>
      <c r="D5" s="1085" t="s">
        <v>25</v>
      </c>
      <c r="E5" s="1082">
        <v>2016</v>
      </c>
      <c r="F5" s="1082"/>
      <c r="G5" s="1082"/>
      <c r="H5" s="1082"/>
      <c r="I5" s="1082"/>
      <c r="J5" s="1082"/>
      <c r="K5" s="1082"/>
      <c r="L5" s="1082"/>
      <c r="M5" s="1082"/>
      <c r="N5" s="1082"/>
      <c r="O5" s="1082"/>
      <c r="P5" s="1082"/>
      <c r="Q5" s="1082"/>
    </row>
    <row r="6" spans="1:20" s="143" customFormat="1" ht="27" customHeight="1">
      <c r="A6" s="1079"/>
      <c r="B6" s="1086"/>
      <c r="C6" s="1086"/>
      <c r="D6" s="1086"/>
      <c r="E6" s="142" t="s">
        <v>26</v>
      </c>
      <c r="F6" s="142" t="s">
        <v>27</v>
      </c>
      <c r="G6" s="142" t="s">
        <v>28</v>
      </c>
      <c r="H6" s="142" t="s">
        <v>29</v>
      </c>
      <c r="I6" s="142" t="s">
        <v>30</v>
      </c>
      <c r="J6" s="142" t="s">
        <v>31</v>
      </c>
      <c r="K6" s="142" t="s">
        <v>32</v>
      </c>
      <c r="L6" s="142" t="s">
        <v>33</v>
      </c>
      <c r="M6" s="142" t="s">
        <v>34</v>
      </c>
      <c r="N6" s="142" t="s">
        <v>35</v>
      </c>
      <c r="O6" s="142" t="s">
        <v>36</v>
      </c>
      <c r="P6" s="142" t="s">
        <v>37</v>
      </c>
      <c r="Q6" s="142" t="s">
        <v>74</v>
      </c>
    </row>
    <row r="7" spans="1:20" s="90" customFormat="1" ht="23.25" customHeight="1">
      <c r="A7" s="86" t="s">
        <v>96</v>
      </c>
      <c r="B7" s="91"/>
      <c r="C7" s="91"/>
      <c r="D7" s="91"/>
      <c r="E7" s="92"/>
      <c r="F7" s="92"/>
      <c r="G7" s="92"/>
      <c r="H7" s="92"/>
      <c r="I7" s="92"/>
      <c r="J7" s="92"/>
      <c r="K7" s="92"/>
      <c r="L7" s="92"/>
      <c r="M7" s="92"/>
      <c r="N7" s="92"/>
      <c r="O7" s="92"/>
      <c r="P7" s="92"/>
      <c r="Q7" s="92"/>
    </row>
    <row r="8" spans="1:20" s="143" customFormat="1" ht="18" customHeight="1">
      <c r="A8" s="658" t="s">
        <v>97</v>
      </c>
      <c r="B8" s="705">
        <f t="shared" ref="B8:J8" si="0">B9+B10+B11+B12+B13+B14+B15</f>
        <v>25.613914782160002</v>
      </c>
      <c r="C8" s="705">
        <f t="shared" si="0"/>
        <v>34.572128266539991</v>
      </c>
      <c r="D8" s="705">
        <f t="shared" si="0"/>
        <v>46.077555379849997</v>
      </c>
      <c r="E8" s="1007">
        <f t="shared" si="0"/>
        <v>53.226724795290011</v>
      </c>
      <c r="F8" s="1007">
        <f t="shared" si="0"/>
        <v>53.148285966229999</v>
      </c>
      <c r="G8" s="1007">
        <f t="shared" si="0"/>
        <v>53.279148563049993</v>
      </c>
      <c r="H8" s="1007">
        <f t="shared" si="0"/>
        <v>53.253252779679997</v>
      </c>
      <c r="I8" s="1007">
        <f t="shared" si="0"/>
        <v>53.33504436997999</v>
      </c>
      <c r="J8" s="1007">
        <f t="shared" si="0"/>
        <v>53.24</v>
      </c>
      <c r="K8" s="706"/>
      <c r="L8" s="706"/>
      <c r="M8" s="706"/>
      <c r="N8" s="706"/>
      <c r="O8" s="706"/>
      <c r="P8" s="709"/>
      <c r="Q8" s="706"/>
    </row>
    <row r="9" spans="1:20" s="143" customFormat="1" ht="18" customHeight="1">
      <c r="A9" s="146" t="s">
        <v>98</v>
      </c>
      <c r="B9" s="302">
        <v>4.7931369238199997</v>
      </c>
      <c r="C9" s="302">
        <v>6.0727997887999967</v>
      </c>
      <c r="D9" s="710">
        <v>6.7473648316300059</v>
      </c>
      <c r="E9" s="1006">
        <v>7.6791807401600085</v>
      </c>
      <c r="F9" s="1006">
        <v>7.252439436240004</v>
      </c>
      <c r="G9" s="1006">
        <v>7.2996902734599978</v>
      </c>
      <c r="H9" s="1006">
        <v>7.2464721261199978</v>
      </c>
      <c r="I9" s="1006">
        <v>7.2634911151899963</v>
      </c>
      <c r="J9" s="1004">
        <v>6.85</v>
      </c>
      <c r="K9" s="706"/>
      <c r="L9" s="706"/>
      <c r="M9" s="706"/>
      <c r="N9" s="706"/>
      <c r="O9" s="706"/>
      <c r="P9" s="709"/>
      <c r="Q9" s="706"/>
    </row>
    <row r="10" spans="1:20" s="143" customFormat="1" ht="18" customHeight="1">
      <c r="A10" s="146" t="s">
        <v>99</v>
      </c>
      <c r="B10" s="302">
        <v>1.5336706811799998</v>
      </c>
      <c r="C10" s="302">
        <v>7.2444771375400006</v>
      </c>
      <c r="D10" s="710">
        <v>11.672227976249999</v>
      </c>
      <c r="E10" s="1006">
        <v>14.628054825640001</v>
      </c>
      <c r="F10" s="1006">
        <v>14.298360564570002</v>
      </c>
      <c r="G10" s="1006">
        <v>14.253826335590002</v>
      </c>
      <c r="H10" s="1006">
        <v>14.169978957750002</v>
      </c>
      <c r="I10" s="1006">
        <v>14.238087922510001</v>
      </c>
      <c r="J10" s="1004">
        <v>13.94</v>
      </c>
      <c r="K10" s="706"/>
      <c r="L10" s="706"/>
      <c r="M10" s="706"/>
      <c r="N10" s="706"/>
      <c r="O10" s="706"/>
      <c r="P10" s="709"/>
      <c r="Q10" s="706"/>
    </row>
    <row r="11" spans="1:20" s="143" customFormat="1" ht="24" customHeight="1">
      <c r="A11" s="146" t="s">
        <v>100</v>
      </c>
      <c r="B11" s="302">
        <v>3.5321869742800001</v>
      </c>
      <c r="C11" s="302">
        <v>3.55948850506</v>
      </c>
      <c r="D11" s="710">
        <v>5.1140256482400002</v>
      </c>
      <c r="E11" s="1006">
        <v>6.7512180757199989</v>
      </c>
      <c r="F11" s="1006">
        <v>6.7492352355799996</v>
      </c>
      <c r="G11" s="1006">
        <v>6.7481862021999994</v>
      </c>
      <c r="H11" s="1006">
        <v>6.7471197837199997</v>
      </c>
      <c r="I11" s="1006">
        <v>6.7467357436499995</v>
      </c>
      <c r="J11" s="1004">
        <v>6.75</v>
      </c>
      <c r="K11" s="706"/>
      <c r="L11" s="706"/>
      <c r="M11" s="706"/>
      <c r="N11" s="706"/>
      <c r="O11" s="706"/>
      <c r="P11" s="709"/>
      <c r="Q11" s="706"/>
    </row>
    <row r="12" spans="1:20" s="143" customFormat="1" ht="17.25" customHeight="1">
      <c r="A12" s="146" t="s">
        <v>101</v>
      </c>
      <c r="B12" s="302">
        <v>5.840317251330001</v>
      </c>
      <c r="C12" s="302">
        <v>6.08474776103</v>
      </c>
      <c r="D12" s="710">
        <v>6.7255223498099976</v>
      </c>
      <c r="E12" s="1006">
        <v>7.4597750806799992</v>
      </c>
      <c r="F12" s="1006">
        <v>7.2521662631099977</v>
      </c>
      <c r="G12" s="1006">
        <v>7.2515588263499975</v>
      </c>
      <c r="H12" s="1006">
        <v>7.2008567314999974</v>
      </c>
      <c r="I12" s="1006">
        <v>7.2051487619699968</v>
      </c>
      <c r="J12" s="1004">
        <v>7.13</v>
      </c>
      <c r="K12" s="706"/>
      <c r="L12" s="706"/>
      <c r="M12" s="706"/>
      <c r="N12" s="706"/>
      <c r="O12" s="706"/>
      <c r="P12" s="709"/>
      <c r="Q12" s="706"/>
    </row>
    <row r="13" spans="1:20" s="143" customFormat="1" ht="17.25" customHeight="1">
      <c r="A13" s="146" t="s">
        <v>102</v>
      </c>
      <c r="B13" s="302">
        <v>6.8860000000000001</v>
      </c>
      <c r="C13" s="302">
        <v>6.9681460490799987</v>
      </c>
      <c r="D13" s="710">
        <v>7.1992350122799991</v>
      </c>
      <c r="E13" s="1006">
        <v>7.5433941043699999</v>
      </c>
      <c r="F13" s="1006">
        <v>7.5433919345699998</v>
      </c>
      <c r="G13" s="1006">
        <v>7.5433905858799992</v>
      </c>
      <c r="H13" s="1006">
        <v>7.5434804979599992</v>
      </c>
      <c r="I13" s="1006">
        <v>7.5434754422800001</v>
      </c>
      <c r="J13" s="1004">
        <v>7.54</v>
      </c>
      <c r="K13" s="706"/>
      <c r="L13" s="706"/>
      <c r="M13" s="706"/>
      <c r="N13" s="706"/>
      <c r="O13" s="706"/>
      <c r="P13" s="709"/>
      <c r="Q13" s="706"/>
    </row>
    <row r="14" spans="1:20" s="143" customFormat="1" ht="21" customHeight="1">
      <c r="A14" s="281" t="s">
        <v>331</v>
      </c>
      <c r="B14" s="302">
        <v>2.9741440405900006</v>
      </c>
      <c r="C14" s="302">
        <v>3.5343251403500022</v>
      </c>
      <c r="D14" s="710">
        <v>4.0613736926399993</v>
      </c>
      <c r="E14" s="1006">
        <v>4.5853847943899995</v>
      </c>
      <c r="F14" s="1006">
        <v>4.2324524556100007</v>
      </c>
      <c r="G14" s="1006">
        <v>4.1657979382299999</v>
      </c>
      <c r="H14" s="1006">
        <v>4.1712417500800001</v>
      </c>
      <c r="I14" s="1006">
        <v>4.1609137724599998</v>
      </c>
      <c r="J14" s="1004">
        <v>3.93</v>
      </c>
      <c r="K14" s="706"/>
      <c r="L14" s="706"/>
      <c r="M14" s="706"/>
      <c r="N14" s="706"/>
      <c r="O14" s="706"/>
      <c r="P14" s="709"/>
      <c r="Q14" s="706"/>
    </row>
    <row r="15" spans="1:20" s="563" customFormat="1" ht="21" customHeight="1">
      <c r="A15" s="573" t="s">
        <v>168</v>
      </c>
      <c r="B15" s="302">
        <v>5.4458910959999995E-2</v>
      </c>
      <c r="C15" s="302">
        <v>1.1081438846799998</v>
      </c>
      <c r="D15" s="710">
        <v>4.557805869000001</v>
      </c>
      <c r="E15" s="1006">
        <v>4.5797171743299998</v>
      </c>
      <c r="F15" s="1006">
        <v>5.8202400765499993</v>
      </c>
      <c r="G15" s="1006">
        <v>6.0166984013400002</v>
      </c>
      <c r="H15" s="1006">
        <v>6.1741029325500003</v>
      </c>
      <c r="I15" s="1006">
        <v>6.1771916119200014</v>
      </c>
      <c r="J15" s="1004">
        <v>7.1</v>
      </c>
      <c r="K15" s="706"/>
      <c r="L15" s="706"/>
      <c r="M15" s="706"/>
      <c r="N15" s="706"/>
      <c r="O15" s="706"/>
      <c r="P15" s="709"/>
      <c r="Q15" s="706"/>
      <c r="R15" s="566"/>
      <c r="S15" s="566"/>
      <c r="T15" s="566"/>
    </row>
    <row r="16" spans="1:20" s="93" customFormat="1" ht="19.5" customHeight="1">
      <c r="A16" s="147" t="s">
        <v>103</v>
      </c>
      <c r="B16" s="707">
        <v>0.17899999999999999</v>
      </c>
      <c r="C16" s="708">
        <v>0.17199999999999999</v>
      </c>
      <c r="D16" s="708">
        <v>0.153</v>
      </c>
      <c r="E16" s="708">
        <v>3.7466449759999999E-2</v>
      </c>
      <c r="F16" s="708">
        <v>7.1643743900000001E-2</v>
      </c>
      <c r="G16" s="708">
        <v>9.1655934270000017E-2</v>
      </c>
      <c r="H16" s="708">
        <v>0.11412518576000001</v>
      </c>
      <c r="I16" s="708">
        <v>0.13752132486000002</v>
      </c>
      <c r="J16" s="708">
        <v>0.15852132486000001</v>
      </c>
      <c r="K16" s="151"/>
      <c r="L16" s="151"/>
      <c r="M16" s="151"/>
      <c r="N16" s="151"/>
      <c r="O16" s="151"/>
      <c r="P16" s="151"/>
      <c r="Q16" s="151"/>
    </row>
    <row r="17" spans="1:18" s="94" customFormat="1" ht="19.5" customHeight="1">
      <c r="A17" s="150" t="s">
        <v>104</v>
      </c>
      <c r="B17" s="302">
        <v>4.2000000000000003E-2</v>
      </c>
      <c r="C17" s="307">
        <v>0.57099999999999995</v>
      </c>
      <c r="D17" s="711">
        <v>0.18</v>
      </c>
      <c r="E17" s="307">
        <v>6.8000000000000005E-2</v>
      </c>
      <c r="F17" s="308">
        <v>0.113</v>
      </c>
      <c r="G17" s="308">
        <v>0.128</v>
      </c>
      <c r="H17" s="308">
        <v>0.155</v>
      </c>
      <c r="I17" s="308">
        <v>0.189</v>
      </c>
      <c r="J17" s="1005">
        <v>0.26</v>
      </c>
      <c r="K17" s="151"/>
      <c r="L17" s="151"/>
      <c r="M17" s="151"/>
      <c r="N17" s="151"/>
      <c r="O17" s="151"/>
      <c r="P17" s="151"/>
      <c r="Q17" s="151"/>
    </row>
    <row r="18" spans="1:18" s="159" customFormat="1" ht="25.5" customHeight="1">
      <c r="A18" s="659" t="s">
        <v>105</v>
      </c>
      <c r="B18" s="713">
        <v>4.3659911921499992</v>
      </c>
      <c r="C18" s="713">
        <v>2.35</v>
      </c>
      <c r="D18" s="713">
        <v>0.56000000000000005</v>
      </c>
      <c r="E18" s="713">
        <v>0.80021210547999999</v>
      </c>
      <c r="F18" s="713">
        <v>0.19</v>
      </c>
      <c r="G18" s="713">
        <v>0.46</v>
      </c>
      <c r="H18" s="713">
        <v>0.8</v>
      </c>
      <c r="I18" s="713">
        <v>0.93</v>
      </c>
      <c r="J18" s="713">
        <v>1.1299999999999999</v>
      </c>
      <c r="K18" s="567"/>
      <c r="L18" s="567"/>
      <c r="M18" s="567"/>
      <c r="N18" s="567"/>
      <c r="O18" s="567"/>
      <c r="P18" s="567"/>
      <c r="Q18" s="567"/>
      <c r="R18" s="158"/>
    </row>
    <row r="19" spans="1:18" s="157" customFormat="1" ht="18.75" customHeight="1">
      <c r="A19" s="154" t="s">
        <v>106</v>
      </c>
      <c r="B19" s="568">
        <v>0.152</v>
      </c>
      <c r="C19" s="568">
        <v>0.224</v>
      </c>
      <c r="D19" s="568">
        <v>0.30199999999999999</v>
      </c>
      <c r="E19" s="568">
        <v>3.0524189490000003E-2</v>
      </c>
      <c r="F19" s="568">
        <v>5.0305848370000003E-2</v>
      </c>
      <c r="G19" s="568">
        <v>7.0103171589999999E-2</v>
      </c>
      <c r="H19" s="568">
        <v>8.6370705240000012E-2</v>
      </c>
      <c r="I19" s="568">
        <v>0.12810222397000001</v>
      </c>
      <c r="J19" s="568">
        <v>0.15510222397000001</v>
      </c>
      <c r="K19" s="153"/>
      <c r="L19" s="153"/>
      <c r="M19" s="153"/>
      <c r="N19" s="153"/>
      <c r="O19" s="153"/>
      <c r="P19" s="153"/>
      <c r="Q19" s="153"/>
    </row>
    <row r="20" spans="1:18" s="94" customFormat="1" ht="18.75" customHeight="1">
      <c r="A20" s="150" t="s">
        <v>107</v>
      </c>
      <c r="B20" s="302">
        <v>3.2000000000000001E-2</v>
      </c>
      <c r="C20" s="308">
        <v>3.9E-2</v>
      </c>
      <c r="D20" s="308">
        <v>0.13</v>
      </c>
      <c r="E20" s="308">
        <v>1.5294963499999925E-3</v>
      </c>
      <c r="F20" s="308">
        <v>1.2156353299999922E-3</v>
      </c>
      <c r="G20" s="308">
        <v>1.5385059199999884E-3</v>
      </c>
      <c r="H20" s="308">
        <v>1.5395556100000207E-3</v>
      </c>
      <c r="I20" s="308">
        <v>4.1653025800000021E-3</v>
      </c>
      <c r="J20" s="308">
        <v>4.116530258E-2</v>
      </c>
      <c r="K20" s="151"/>
      <c r="L20" s="151"/>
      <c r="M20" s="151"/>
      <c r="N20" s="151"/>
      <c r="O20" s="151"/>
      <c r="P20" s="151"/>
      <c r="Q20" s="151"/>
    </row>
    <row r="21" spans="1:18" s="93" customFormat="1" ht="24" customHeight="1">
      <c r="A21" s="152" t="s">
        <v>108</v>
      </c>
      <c r="B21" s="712">
        <f>B16+B19</f>
        <v>0.33099999999999996</v>
      </c>
      <c r="C21" s="712">
        <f t="shared" ref="C21:J21" si="1">C16+C19</f>
        <v>0.39600000000000002</v>
      </c>
      <c r="D21" s="712">
        <f t="shared" si="1"/>
        <v>0.45499999999999996</v>
      </c>
      <c r="E21" s="712">
        <f t="shared" si="1"/>
        <v>6.7990639249999998E-2</v>
      </c>
      <c r="F21" s="712">
        <f t="shared" si="1"/>
        <v>0.12194959227</v>
      </c>
      <c r="G21" s="712">
        <f t="shared" si="1"/>
        <v>0.16175910586000003</v>
      </c>
      <c r="H21" s="712">
        <f t="shared" si="1"/>
        <v>0.20049589100000004</v>
      </c>
      <c r="I21" s="712">
        <f t="shared" si="1"/>
        <v>0.26562354883000006</v>
      </c>
      <c r="J21" s="712">
        <f t="shared" si="1"/>
        <v>0.31362354882999999</v>
      </c>
      <c r="K21" s="712"/>
      <c r="L21" s="712"/>
      <c r="M21" s="712"/>
      <c r="N21" s="712"/>
      <c r="O21" s="712"/>
      <c r="P21" s="712"/>
      <c r="Q21" s="712"/>
      <c r="R21" s="94"/>
    </row>
    <row r="22" spans="1:18" s="93" customFormat="1" ht="24" customHeight="1">
      <c r="A22" s="147" t="s">
        <v>109</v>
      </c>
      <c r="B22" s="567">
        <f>B17+B20</f>
        <v>7.400000000000001E-2</v>
      </c>
      <c r="C22" s="567">
        <f t="shared" ref="C22:J22" si="2">C17+C20</f>
        <v>0.61</v>
      </c>
      <c r="D22" s="567">
        <f t="shared" si="2"/>
        <v>0.31</v>
      </c>
      <c r="E22" s="567">
        <f t="shared" si="2"/>
        <v>6.9529496349999997E-2</v>
      </c>
      <c r="F22" s="567">
        <f t="shared" si="2"/>
        <v>0.11421563533</v>
      </c>
      <c r="G22" s="567">
        <f t="shared" si="2"/>
        <v>0.12953850591999999</v>
      </c>
      <c r="H22" s="567">
        <f t="shared" si="2"/>
        <v>0.15653955561000002</v>
      </c>
      <c r="I22" s="567">
        <f t="shared" si="2"/>
        <v>0.19316530258</v>
      </c>
      <c r="J22" s="567">
        <f t="shared" si="2"/>
        <v>0.30116530258000002</v>
      </c>
      <c r="K22" s="567"/>
      <c r="L22" s="567"/>
      <c r="M22" s="567"/>
      <c r="N22" s="567"/>
      <c r="O22" s="567"/>
      <c r="P22" s="567"/>
      <c r="Q22" s="567"/>
      <c r="R22" s="94"/>
    </row>
    <row r="23" spans="1:18" s="99" customFormat="1">
      <c r="A23" s="96"/>
      <c r="B23" s="564"/>
      <c r="C23" s="564"/>
      <c r="D23" s="564"/>
      <c r="E23" s="565"/>
      <c r="F23" s="565"/>
      <c r="G23" s="565"/>
      <c r="H23" s="565"/>
      <c r="I23" s="565"/>
      <c r="J23" s="98"/>
      <c r="K23" s="98"/>
      <c r="L23" s="98"/>
      <c r="M23" s="98"/>
      <c r="N23" s="98"/>
      <c r="O23" s="98"/>
      <c r="P23" s="98"/>
      <c r="Q23" s="98"/>
      <c r="R23" s="94"/>
    </row>
    <row r="24" spans="1:18" s="102" customFormat="1">
      <c r="A24" s="100" t="s">
        <v>94</v>
      </c>
      <c r="B24" s="101"/>
      <c r="C24" s="101"/>
      <c r="D24" s="101"/>
      <c r="R24" s="94"/>
    </row>
    <row r="25" spans="1:18" s="102" customFormat="1" ht="15" customHeight="1">
      <c r="A25" s="132" t="s">
        <v>92</v>
      </c>
      <c r="B25" s="103"/>
      <c r="C25" s="103"/>
      <c r="D25" s="103"/>
      <c r="E25" s="104"/>
      <c r="F25" s="105"/>
      <c r="G25" s="105"/>
      <c r="H25" s="105"/>
      <c r="I25" s="105"/>
      <c r="J25" s="105"/>
      <c r="K25" s="105"/>
      <c r="L25" s="105"/>
      <c r="M25" s="105"/>
      <c r="N25" s="105"/>
      <c r="O25" s="105"/>
      <c r="P25" s="105"/>
      <c r="Q25" s="105"/>
    </row>
    <row r="26" spans="1:18" s="102" customFormat="1" ht="12.75" customHeight="1">
      <c r="A26" s="1056" t="s">
        <v>110</v>
      </c>
      <c r="B26" s="1057"/>
      <c r="C26" s="1057"/>
      <c r="D26" s="1057"/>
      <c r="E26" s="1057"/>
      <c r="F26" s="1057"/>
      <c r="G26" s="1057"/>
      <c r="H26" s="1057"/>
      <c r="I26" s="1057"/>
      <c r="J26" s="1057"/>
      <c r="K26" s="1057"/>
      <c r="L26" s="1057"/>
      <c r="M26" s="1057"/>
      <c r="N26" s="1057"/>
      <c r="O26" s="1057"/>
      <c r="P26" s="1057"/>
      <c r="Q26" s="1057"/>
    </row>
    <row r="27" spans="1:18" s="102" customFormat="1" ht="12.75" customHeight="1">
      <c r="A27" s="660" t="s">
        <v>352</v>
      </c>
      <c r="B27" s="661"/>
      <c r="C27" s="661"/>
      <c r="D27" s="661"/>
      <c r="E27" s="661"/>
      <c r="F27" s="661"/>
      <c r="G27" s="661"/>
      <c r="H27" s="661"/>
      <c r="I27" s="661"/>
      <c r="J27" s="661"/>
      <c r="K27" s="661"/>
      <c r="L27" s="661"/>
      <c r="M27" s="661"/>
      <c r="N27" s="661"/>
      <c r="O27" s="661"/>
      <c r="P27" s="661"/>
      <c r="Q27" s="661"/>
    </row>
    <row r="28" spans="1:18" s="102" customFormat="1" ht="12.75" customHeight="1">
      <c r="A28" s="686" t="s">
        <v>332</v>
      </c>
      <c r="B28" s="687"/>
      <c r="C28" s="687"/>
      <c r="D28" s="687"/>
      <c r="E28" s="687"/>
      <c r="F28" s="687"/>
      <c r="G28" s="687"/>
      <c r="H28" s="687"/>
      <c r="I28" s="687"/>
      <c r="J28" s="687"/>
      <c r="K28" s="687"/>
      <c r="L28" s="687"/>
      <c r="M28" s="687"/>
      <c r="N28" s="687"/>
      <c r="O28" s="687"/>
      <c r="P28" s="687"/>
      <c r="Q28" s="687"/>
    </row>
    <row r="29" spans="1:18" s="102" customFormat="1" ht="14.25" customHeight="1">
      <c r="A29" s="132" t="s">
        <v>353</v>
      </c>
      <c r="B29" s="103"/>
      <c r="C29" s="103"/>
      <c r="D29" s="103"/>
      <c r="E29" s="104"/>
      <c r="F29" s="105"/>
      <c r="G29" s="105"/>
      <c r="H29" s="105"/>
      <c r="I29" s="105"/>
      <c r="J29" s="105"/>
      <c r="K29" s="105"/>
      <c r="L29" s="106"/>
      <c r="M29" s="104"/>
      <c r="N29" s="105"/>
      <c r="O29" s="105"/>
      <c r="P29" s="105"/>
      <c r="Q29" s="105"/>
    </row>
    <row r="30" spans="1:18" s="102" customFormat="1">
      <c r="A30" s="107"/>
      <c r="B30" s="103"/>
      <c r="C30" s="103"/>
      <c r="D30" s="103"/>
      <c r="E30" s="104"/>
      <c r="F30" s="105"/>
      <c r="G30" s="105"/>
      <c r="H30" s="105"/>
      <c r="I30" s="105"/>
      <c r="J30" s="105"/>
      <c r="K30" s="105"/>
      <c r="L30" s="108"/>
      <c r="M30" s="108"/>
      <c r="N30" s="105"/>
      <c r="O30" s="105"/>
      <c r="P30" s="105"/>
      <c r="Q30" s="105"/>
    </row>
    <row r="31" spans="1:18">
      <c r="A31" s="107"/>
      <c r="B31" s="109"/>
      <c r="C31" s="109"/>
      <c r="D31" s="109"/>
      <c r="E31" s="110"/>
      <c r="F31" s="110"/>
      <c r="G31" s="110"/>
      <c r="H31" s="110"/>
      <c r="I31" s="110"/>
      <c r="J31" s="110"/>
      <c r="K31" s="110"/>
      <c r="L31" s="110"/>
      <c r="M31" s="110"/>
      <c r="N31" s="110"/>
      <c r="O31" s="110"/>
      <c r="P31" s="110"/>
      <c r="Q31" s="110"/>
    </row>
    <row r="32" spans="1:18">
      <c r="A32" s="112"/>
      <c r="B32" s="103"/>
      <c r="C32" s="103"/>
      <c r="D32" s="103"/>
      <c r="E32" s="104"/>
      <c r="F32" s="105"/>
      <c r="G32" s="105"/>
      <c r="H32" s="105"/>
      <c r="I32" s="105"/>
      <c r="J32" s="108"/>
      <c r="K32" s="108"/>
      <c r="L32" s="108"/>
      <c r="M32" s="108"/>
      <c r="N32" s="105"/>
      <c r="O32" s="105"/>
      <c r="P32" s="105"/>
      <c r="Q32" s="105"/>
    </row>
    <row r="33" spans="1:1">
      <c r="A33" s="226"/>
    </row>
    <row r="34" spans="1:1">
      <c r="A34" s="226"/>
    </row>
    <row r="35" spans="1:1">
      <c r="A35" s="226"/>
    </row>
    <row r="36" spans="1:1">
      <c r="A36" s="226"/>
    </row>
    <row r="37" spans="1:1">
      <c r="A37" s="226"/>
    </row>
    <row r="38" spans="1:1">
      <c r="A38" s="226"/>
    </row>
    <row r="39" spans="1:1">
      <c r="A39" s="226"/>
    </row>
  </sheetData>
  <mergeCells count="7">
    <mergeCell ref="A26:Q26"/>
    <mergeCell ref="A4:Q4"/>
    <mergeCell ref="A5:A6"/>
    <mergeCell ref="B5:B6"/>
    <mergeCell ref="C5:C6"/>
    <mergeCell ref="D5:D6"/>
    <mergeCell ref="E5:Q5"/>
  </mergeCells>
  <pageMargins left="0.70866141732283472" right="0.70866141732283472" top="0.74803149606299213" bottom="0.74803149606299213" header="0.31496062992125984" footer="0.31496062992125984"/>
  <pageSetup paperSize="9" scale="70" fitToHeight="0" orientation="landscape" r:id="rId1"/>
  <headerFoot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34"/>
  <sheetViews>
    <sheetView view="pageBreakPreview" topLeftCell="A4" zoomScaleNormal="100" zoomScaleSheetLayoutView="100" workbookViewId="0">
      <selection activeCell="H8" sqref="H8"/>
    </sheetView>
  </sheetViews>
  <sheetFormatPr defaultRowHeight="12"/>
  <cols>
    <col min="1" max="1" width="11.42578125" style="111" customWidth="1"/>
    <col min="2" max="2" width="64.42578125" style="102" customWidth="1"/>
    <col min="3" max="3" width="7.5703125" style="114" customWidth="1"/>
    <col min="4" max="4" width="9.140625" style="111" customWidth="1"/>
    <col min="5" max="10" width="7.5703125" style="111" customWidth="1"/>
    <col min="11" max="11" width="7.7109375" style="111" customWidth="1"/>
    <col min="12" max="15" width="7.5703125" style="111" customWidth="1"/>
    <col min="16" max="254" width="9.140625" style="111"/>
    <col min="255" max="255" width="82" style="111" customWidth="1"/>
    <col min="256" max="256" width="10.7109375" style="111" customWidth="1"/>
    <col min="257" max="257" width="8.5703125" style="111" customWidth="1"/>
    <col min="258" max="258" width="10.85546875" style="111" customWidth="1"/>
    <col min="259" max="259" width="8.85546875" style="111" customWidth="1"/>
    <col min="260" max="260" width="13.85546875" style="111" customWidth="1"/>
    <col min="261" max="261" width="11" style="111" customWidth="1"/>
    <col min="262" max="263" width="12.28515625" style="111" customWidth="1"/>
    <col min="264" max="264" width="6.42578125" style="111" customWidth="1"/>
    <col min="265" max="265" width="9.140625" style="111" customWidth="1"/>
    <col min="266" max="266" width="6.85546875" style="111" customWidth="1"/>
    <col min="267" max="267" width="10.42578125" style="111" customWidth="1"/>
    <col min="268" max="268" width="10" style="111" customWidth="1"/>
    <col min="269" max="269" width="6.7109375" style="111" bestFit="1" customWidth="1"/>
    <col min="270" max="270" width="9.140625" style="111" customWidth="1"/>
    <col min="271" max="510" width="9.140625" style="111"/>
    <col min="511" max="511" width="82" style="111" customWidth="1"/>
    <col min="512" max="512" width="10.7109375" style="111" customWidth="1"/>
    <col min="513" max="513" width="8.5703125" style="111" customWidth="1"/>
    <col min="514" max="514" width="10.85546875" style="111" customWidth="1"/>
    <col min="515" max="515" width="8.85546875" style="111" customWidth="1"/>
    <col min="516" max="516" width="13.85546875" style="111" customWidth="1"/>
    <col min="517" max="517" width="11" style="111" customWidth="1"/>
    <col min="518" max="519" width="12.28515625" style="111" customWidth="1"/>
    <col min="520" max="520" width="6.42578125" style="111" customWidth="1"/>
    <col min="521" max="521" width="9.140625" style="111" customWidth="1"/>
    <col min="522" max="522" width="6.85546875" style="111" customWidth="1"/>
    <col min="523" max="523" width="10.42578125" style="111" customWidth="1"/>
    <col min="524" max="524" width="10" style="111" customWidth="1"/>
    <col min="525" max="525" width="6.7109375" style="111" bestFit="1" customWidth="1"/>
    <col min="526" max="526" width="9.140625" style="111" customWidth="1"/>
    <col min="527" max="766" width="9.140625" style="111"/>
    <col min="767" max="767" width="82" style="111" customWidth="1"/>
    <col min="768" max="768" width="10.7109375" style="111" customWidth="1"/>
    <col min="769" max="769" width="8.5703125" style="111" customWidth="1"/>
    <col min="770" max="770" width="10.85546875" style="111" customWidth="1"/>
    <col min="771" max="771" width="8.85546875" style="111" customWidth="1"/>
    <col min="772" max="772" width="13.85546875" style="111" customWidth="1"/>
    <col min="773" max="773" width="11" style="111" customWidth="1"/>
    <col min="774" max="775" width="12.28515625" style="111" customWidth="1"/>
    <col min="776" max="776" width="6.42578125" style="111" customWidth="1"/>
    <col min="777" max="777" width="9.140625" style="111" customWidth="1"/>
    <col min="778" max="778" width="6.85546875" style="111" customWidth="1"/>
    <col min="779" max="779" width="10.42578125" style="111" customWidth="1"/>
    <col min="780" max="780" width="10" style="111" customWidth="1"/>
    <col min="781" max="781" width="6.7109375" style="111" bestFit="1" customWidth="1"/>
    <col min="782" max="782" width="9.140625" style="111" customWidth="1"/>
    <col min="783" max="1022" width="9.140625" style="111"/>
    <col min="1023" max="1023" width="82" style="111" customWidth="1"/>
    <col min="1024" max="1024" width="10.7109375" style="111" customWidth="1"/>
    <col min="1025" max="1025" width="8.5703125" style="111" customWidth="1"/>
    <col min="1026" max="1026" width="10.85546875" style="111" customWidth="1"/>
    <col min="1027" max="1027" width="8.85546875" style="111" customWidth="1"/>
    <col min="1028" max="1028" width="13.85546875" style="111" customWidth="1"/>
    <col min="1029" max="1029" width="11" style="111" customWidth="1"/>
    <col min="1030" max="1031" width="12.28515625" style="111" customWidth="1"/>
    <col min="1032" max="1032" width="6.42578125" style="111" customWidth="1"/>
    <col min="1033" max="1033" width="9.140625" style="111" customWidth="1"/>
    <col min="1034" max="1034" width="6.85546875" style="111" customWidth="1"/>
    <col min="1035" max="1035" width="10.42578125" style="111" customWidth="1"/>
    <col min="1036" max="1036" width="10" style="111" customWidth="1"/>
    <col min="1037" max="1037" width="6.7109375" style="111" bestFit="1" customWidth="1"/>
    <col min="1038" max="1038" width="9.140625" style="111" customWidth="1"/>
    <col min="1039" max="1278" width="9.140625" style="111"/>
    <col min="1279" max="1279" width="82" style="111" customWidth="1"/>
    <col min="1280" max="1280" width="10.7109375" style="111" customWidth="1"/>
    <col min="1281" max="1281" width="8.5703125" style="111" customWidth="1"/>
    <col min="1282" max="1282" width="10.85546875" style="111" customWidth="1"/>
    <col min="1283" max="1283" width="8.85546875" style="111" customWidth="1"/>
    <col min="1284" max="1284" width="13.85546875" style="111" customWidth="1"/>
    <col min="1285" max="1285" width="11" style="111" customWidth="1"/>
    <col min="1286" max="1287" width="12.28515625" style="111" customWidth="1"/>
    <col min="1288" max="1288" width="6.42578125" style="111" customWidth="1"/>
    <col min="1289" max="1289" width="9.140625" style="111" customWidth="1"/>
    <col min="1290" max="1290" width="6.85546875" style="111" customWidth="1"/>
    <col min="1291" max="1291" width="10.42578125" style="111" customWidth="1"/>
    <col min="1292" max="1292" width="10" style="111" customWidth="1"/>
    <col min="1293" max="1293" width="6.7109375" style="111" bestFit="1" customWidth="1"/>
    <col min="1294" max="1294" width="9.140625" style="111" customWidth="1"/>
    <col min="1295" max="1534" width="9.140625" style="111"/>
    <col min="1535" max="1535" width="82" style="111" customWidth="1"/>
    <col min="1536" max="1536" width="10.7109375" style="111" customWidth="1"/>
    <col min="1537" max="1537" width="8.5703125" style="111" customWidth="1"/>
    <col min="1538" max="1538" width="10.85546875" style="111" customWidth="1"/>
    <col min="1539" max="1539" width="8.85546875" style="111" customWidth="1"/>
    <col min="1540" max="1540" width="13.85546875" style="111" customWidth="1"/>
    <col min="1541" max="1541" width="11" style="111" customWidth="1"/>
    <col min="1542" max="1543" width="12.28515625" style="111" customWidth="1"/>
    <col min="1544" max="1544" width="6.42578125" style="111" customWidth="1"/>
    <col min="1545" max="1545" width="9.140625" style="111" customWidth="1"/>
    <col min="1546" max="1546" width="6.85546875" style="111" customWidth="1"/>
    <col min="1547" max="1547" width="10.42578125" style="111" customWidth="1"/>
    <col min="1548" max="1548" width="10" style="111" customWidth="1"/>
    <col min="1549" max="1549" width="6.7109375" style="111" bestFit="1" customWidth="1"/>
    <col min="1550" max="1550" width="9.140625" style="111" customWidth="1"/>
    <col min="1551" max="1790" width="9.140625" style="111"/>
    <col min="1791" max="1791" width="82" style="111" customWidth="1"/>
    <col min="1792" max="1792" width="10.7109375" style="111" customWidth="1"/>
    <col min="1793" max="1793" width="8.5703125" style="111" customWidth="1"/>
    <col min="1794" max="1794" width="10.85546875" style="111" customWidth="1"/>
    <col min="1795" max="1795" width="8.85546875" style="111" customWidth="1"/>
    <col min="1796" max="1796" width="13.85546875" style="111" customWidth="1"/>
    <col min="1797" max="1797" width="11" style="111" customWidth="1"/>
    <col min="1798" max="1799" width="12.28515625" style="111" customWidth="1"/>
    <col min="1800" max="1800" width="6.42578125" style="111" customWidth="1"/>
    <col min="1801" max="1801" width="9.140625" style="111" customWidth="1"/>
    <col min="1802" max="1802" width="6.85546875" style="111" customWidth="1"/>
    <col min="1803" max="1803" width="10.42578125" style="111" customWidth="1"/>
    <col min="1804" max="1804" width="10" style="111" customWidth="1"/>
    <col min="1805" max="1805" width="6.7109375" style="111" bestFit="1" customWidth="1"/>
    <col min="1806" max="1806" width="9.140625" style="111" customWidth="1"/>
    <col min="1807" max="2046" width="9.140625" style="111"/>
    <col min="2047" max="2047" width="82" style="111" customWidth="1"/>
    <col min="2048" max="2048" width="10.7109375" style="111" customWidth="1"/>
    <col min="2049" max="2049" width="8.5703125" style="111" customWidth="1"/>
    <col min="2050" max="2050" width="10.85546875" style="111" customWidth="1"/>
    <col min="2051" max="2051" width="8.85546875" style="111" customWidth="1"/>
    <col min="2052" max="2052" width="13.85546875" style="111" customWidth="1"/>
    <col min="2053" max="2053" width="11" style="111" customWidth="1"/>
    <col min="2054" max="2055" width="12.28515625" style="111" customWidth="1"/>
    <col min="2056" max="2056" width="6.42578125" style="111" customWidth="1"/>
    <col min="2057" max="2057" width="9.140625" style="111" customWidth="1"/>
    <col min="2058" max="2058" width="6.85546875" style="111" customWidth="1"/>
    <col min="2059" max="2059" width="10.42578125" style="111" customWidth="1"/>
    <col min="2060" max="2060" width="10" style="111" customWidth="1"/>
    <col min="2061" max="2061" width="6.7109375" style="111" bestFit="1" customWidth="1"/>
    <col min="2062" max="2062" width="9.140625" style="111" customWidth="1"/>
    <col min="2063" max="2302" width="9.140625" style="111"/>
    <col min="2303" max="2303" width="82" style="111" customWidth="1"/>
    <col min="2304" max="2304" width="10.7109375" style="111" customWidth="1"/>
    <col min="2305" max="2305" width="8.5703125" style="111" customWidth="1"/>
    <col min="2306" max="2306" width="10.85546875" style="111" customWidth="1"/>
    <col min="2307" max="2307" width="8.85546875" style="111" customWidth="1"/>
    <col min="2308" max="2308" width="13.85546875" style="111" customWidth="1"/>
    <col min="2309" max="2309" width="11" style="111" customWidth="1"/>
    <col min="2310" max="2311" width="12.28515625" style="111" customWidth="1"/>
    <col min="2312" max="2312" width="6.42578125" style="111" customWidth="1"/>
    <col min="2313" max="2313" width="9.140625" style="111" customWidth="1"/>
    <col min="2314" max="2314" width="6.85546875" style="111" customWidth="1"/>
    <col min="2315" max="2315" width="10.42578125" style="111" customWidth="1"/>
    <col min="2316" max="2316" width="10" style="111" customWidth="1"/>
    <col min="2317" max="2317" width="6.7109375" style="111" bestFit="1" customWidth="1"/>
    <col min="2318" max="2318" width="9.140625" style="111" customWidth="1"/>
    <col min="2319" max="2558" width="9.140625" style="111"/>
    <col min="2559" max="2559" width="82" style="111" customWidth="1"/>
    <col min="2560" max="2560" width="10.7109375" style="111" customWidth="1"/>
    <col min="2561" max="2561" width="8.5703125" style="111" customWidth="1"/>
    <col min="2562" max="2562" width="10.85546875" style="111" customWidth="1"/>
    <col min="2563" max="2563" width="8.85546875" style="111" customWidth="1"/>
    <col min="2564" max="2564" width="13.85546875" style="111" customWidth="1"/>
    <col min="2565" max="2565" width="11" style="111" customWidth="1"/>
    <col min="2566" max="2567" width="12.28515625" style="111" customWidth="1"/>
    <col min="2568" max="2568" width="6.42578125" style="111" customWidth="1"/>
    <col min="2569" max="2569" width="9.140625" style="111" customWidth="1"/>
    <col min="2570" max="2570" width="6.85546875" style="111" customWidth="1"/>
    <col min="2571" max="2571" width="10.42578125" style="111" customWidth="1"/>
    <col min="2572" max="2572" width="10" style="111" customWidth="1"/>
    <col min="2573" max="2573" width="6.7109375" style="111" bestFit="1" customWidth="1"/>
    <col min="2574" max="2574" width="9.140625" style="111" customWidth="1"/>
    <col min="2575" max="2814" width="9.140625" style="111"/>
    <col min="2815" max="2815" width="82" style="111" customWidth="1"/>
    <col min="2816" max="2816" width="10.7109375" style="111" customWidth="1"/>
    <col min="2817" max="2817" width="8.5703125" style="111" customWidth="1"/>
    <col min="2818" max="2818" width="10.85546875" style="111" customWidth="1"/>
    <col min="2819" max="2819" width="8.85546875" style="111" customWidth="1"/>
    <col min="2820" max="2820" width="13.85546875" style="111" customWidth="1"/>
    <col min="2821" max="2821" width="11" style="111" customWidth="1"/>
    <col min="2822" max="2823" width="12.28515625" style="111" customWidth="1"/>
    <col min="2824" max="2824" width="6.42578125" style="111" customWidth="1"/>
    <col min="2825" max="2825" width="9.140625" style="111" customWidth="1"/>
    <col min="2826" max="2826" width="6.85546875" style="111" customWidth="1"/>
    <col min="2827" max="2827" width="10.42578125" style="111" customWidth="1"/>
    <col min="2828" max="2828" width="10" style="111" customWidth="1"/>
    <col min="2829" max="2829" width="6.7109375" style="111" bestFit="1" customWidth="1"/>
    <col min="2830" max="2830" width="9.140625" style="111" customWidth="1"/>
    <col min="2831" max="3070" width="9.140625" style="111"/>
    <col min="3071" max="3071" width="82" style="111" customWidth="1"/>
    <col min="3072" max="3072" width="10.7109375" style="111" customWidth="1"/>
    <col min="3073" max="3073" width="8.5703125" style="111" customWidth="1"/>
    <col min="3074" max="3074" width="10.85546875" style="111" customWidth="1"/>
    <col min="3075" max="3075" width="8.85546875" style="111" customWidth="1"/>
    <col min="3076" max="3076" width="13.85546875" style="111" customWidth="1"/>
    <col min="3077" max="3077" width="11" style="111" customWidth="1"/>
    <col min="3078" max="3079" width="12.28515625" style="111" customWidth="1"/>
    <col min="3080" max="3080" width="6.42578125" style="111" customWidth="1"/>
    <col min="3081" max="3081" width="9.140625" style="111" customWidth="1"/>
    <col min="3082" max="3082" width="6.85546875" style="111" customWidth="1"/>
    <col min="3083" max="3083" width="10.42578125" style="111" customWidth="1"/>
    <col min="3084" max="3084" width="10" style="111" customWidth="1"/>
    <col min="3085" max="3085" width="6.7109375" style="111" bestFit="1" customWidth="1"/>
    <col min="3086" max="3086" width="9.140625" style="111" customWidth="1"/>
    <col min="3087" max="3326" width="9.140625" style="111"/>
    <col min="3327" max="3327" width="82" style="111" customWidth="1"/>
    <col min="3328" max="3328" width="10.7109375" style="111" customWidth="1"/>
    <col min="3329" max="3329" width="8.5703125" style="111" customWidth="1"/>
    <col min="3330" max="3330" width="10.85546875" style="111" customWidth="1"/>
    <col min="3331" max="3331" width="8.85546875" style="111" customWidth="1"/>
    <col min="3332" max="3332" width="13.85546875" style="111" customWidth="1"/>
    <col min="3333" max="3333" width="11" style="111" customWidth="1"/>
    <col min="3334" max="3335" width="12.28515625" style="111" customWidth="1"/>
    <col min="3336" max="3336" width="6.42578125" style="111" customWidth="1"/>
    <col min="3337" max="3337" width="9.140625" style="111" customWidth="1"/>
    <col min="3338" max="3338" width="6.85546875" style="111" customWidth="1"/>
    <col min="3339" max="3339" width="10.42578125" style="111" customWidth="1"/>
    <col min="3340" max="3340" width="10" style="111" customWidth="1"/>
    <col min="3341" max="3341" width="6.7109375" style="111" bestFit="1" customWidth="1"/>
    <col min="3342" max="3342" width="9.140625" style="111" customWidth="1"/>
    <col min="3343" max="3582" width="9.140625" style="111"/>
    <col min="3583" max="3583" width="82" style="111" customWidth="1"/>
    <col min="3584" max="3584" width="10.7109375" style="111" customWidth="1"/>
    <col min="3585" max="3585" width="8.5703125" style="111" customWidth="1"/>
    <col min="3586" max="3586" width="10.85546875" style="111" customWidth="1"/>
    <col min="3587" max="3587" width="8.85546875" style="111" customWidth="1"/>
    <col min="3588" max="3588" width="13.85546875" style="111" customWidth="1"/>
    <col min="3589" max="3589" width="11" style="111" customWidth="1"/>
    <col min="3590" max="3591" width="12.28515625" style="111" customWidth="1"/>
    <col min="3592" max="3592" width="6.42578125" style="111" customWidth="1"/>
    <col min="3593" max="3593" width="9.140625" style="111" customWidth="1"/>
    <col min="3594" max="3594" width="6.85546875" style="111" customWidth="1"/>
    <col min="3595" max="3595" width="10.42578125" style="111" customWidth="1"/>
    <col min="3596" max="3596" width="10" style="111" customWidth="1"/>
    <col min="3597" max="3597" width="6.7109375" style="111" bestFit="1" customWidth="1"/>
    <col min="3598" max="3598" width="9.140625" style="111" customWidth="1"/>
    <col min="3599" max="3838" width="9.140625" style="111"/>
    <col min="3839" max="3839" width="82" style="111" customWidth="1"/>
    <col min="3840" max="3840" width="10.7109375" style="111" customWidth="1"/>
    <col min="3841" max="3841" width="8.5703125" style="111" customWidth="1"/>
    <col min="3842" max="3842" width="10.85546875" style="111" customWidth="1"/>
    <col min="3843" max="3843" width="8.85546875" style="111" customWidth="1"/>
    <col min="3844" max="3844" width="13.85546875" style="111" customWidth="1"/>
    <col min="3845" max="3845" width="11" style="111" customWidth="1"/>
    <col min="3846" max="3847" width="12.28515625" style="111" customWidth="1"/>
    <col min="3848" max="3848" width="6.42578125" style="111" customWidth="1"/>
    <col min="3849" max="3849" width="9.140625" style="111" customWidth="1"/>
    <col min="3850" max="3850" width="6.85546875" style="111" customWidth="1"/>
    <col min="3851" max="3851" width="10.42578125" style="111" customWidth="1"/>
    <col min="3852" max="3852" width="10" style="111" customWidth="1"/>
    <col min="3853" max="3853" width="6.7109375" style="111" bestFit="1" customWidth="1"/>
    <col min="3854" max="3854" width="9.140625" style="111" customWidth="1"/>
    <col min="3855" max="4094" width="9.140625" style="111"/>
    <col min="4095" max="4095" width="82" style="111" customWidth="1"/>
    <col min="4096" max="4096" width="10.7109375" style="111" customWidth="1"/>
    <col min="4097" max="4097" width="8.5703125" style="111" customWidth="1"/>
    <col min="4098" max="4098" width="10.85546875" style="111" customWidth="1"/>
    <col min="4099" max="4099" width="8.85546875" style="111" customWidth="1"/>
    <col min="4100" max="4100" width="13.85546875" style="111" customWidth="1"/>
    <col min="4101" max="4101" width="11" style="111" customWidth="1"/>
    <col min="4102" max="4103" width="12.28515625" style="111" customWidth="1"/>
    <col min="4104" max="4104" width="6.42578125" style="111" customWidth="1"/>
    <col min="4105" max="4105" width="9.140625" style="111" customWidth="1"/>
    <col min="4106" max="4106" width="6.85546875" style="111" customWidth="1"/>
    <col min="4107" max="4107" width="10.42578125" style="111" customWidth="1"/>
    <col min="4108" max="4108" width="10" style="111" customWidth="1"/>
    <col min="4109" max="4109" width="6.7109375" style="111" bestFit="1" customWidth="1"/>
    <col min="4110" max="4110" width="9.140625" style="111" customWidth="1"/>
    <col min="4111" max="4350" width="9.140625" style="111"/>
    <col min="4351" max="4351" width="82" style="111" customWidth="1"/>
    <col min="4352" max="4352" width="10.7109375" style="111" customWidth="1"/>
    <col min="4353" max="4353" width="8.5703125" style="111" customWidth="1"/>
    <col min="4354" max="4354" width="10.85546875" style="111" customWidth="1"/>
    <col min="4355" max="4355" width="8.85546875" style="111" customWidth="1"/>
    <col min="4356" max="4356" width="13.85546875" style="111" customWidth="1"/>
    <col min="4357" max="4357" width="11" style="111" customWidth="1"/>
    <col min="4358" max="4359" width="12.28515625" style="111" customWidth="1"/>
    <col min="4360" max="4360" width="6.42578125" style="111" customWidth="1"/>
    <col min="4361" max="4361" width="9.140625" style="111" customWidth="1"/>
    <col min="4362" max="4362" width="6.85546875" style="111" customWidth="1"/>
    <col min="4363" max="4363" width="10.42578125" style="111" customWidth="1"/>
    <col min="4364" max="4364" width="10" style="111" customWidth="1"/>
    <col min="4365" max="4365" width="6.7109375" style="111" bestFit="1" customWidth="1"/>
    <col min="4366" max="4366" width="9.140625" style="111" customWidth="1"/>
    <col min="4367" max="4606" width="9.140625" style="111"/>
    <col min="4607" max="4607" width="82" style="111" customWidth="1"/>
    <col min="4608" max="4608" width="10.7109375" style="111" customWidth="1"/>
    <col min="4609" max="4609" width="8.5703125" style="111" customWidth="1"/>
    <col min="4610" max="4610" width="10.85546875" style="111" customWidth="1"/>
    <col min="4611" max="4611" width="8.85546875" style="111" customWidth="1"/>
    <col min="4612" max="4612" width="13.85546875" style="111" customWidth="1"/>
    <col min="4613" max="4613" width="11" style="111" customWidth="1"/>
    <col min="4614" max="4615" width="12.28515625" style="111" customWidth="1"/>
    <col min="4616" max="4616" width="6.42578125" style="111" customWidth="1"/>
    <col min="4617" max="4617" width="9.140625" style="111" customWidth="1"/>
    <col min="4618" max="4618" width="6.85546875" style="111" customWidth="1"/>
    <col min="4619" max="4619" width="10.42578125" style="111" customWidth="1"/>
    <col min="4620" max="4620" width="10" style="111" customWidth="1"/>
    <col min="4621" max="4621" width="6.7109375" style="111" bestFit="1" customWidth="1"/>
    <col min="4622" max="4622" width="9.140625" style="111" customWidth="1"/>
    <col min="4623" max="4862" width="9.140625" style="111"/>
    <col min="4863" max="4863" width="82" style="111" customWidth="1"/>
    <col min="4864" max="4864" width="10.7109375" style="111" customWidth="1"/>
    <col min="4865" max="4865" width="8.5703125" style="111" customWidth="1"/>
    <col min="4866" max="4866" width="10.85546875" style="111" customWidth="1"/>
    <col min="4867" max="4867" width="8.85546875" style="111" customWidth="1"/>
    <col min="4868" max="4868" width="13.85546875" style="111" customWidth="1"/>
    <col min="4869" max="4869" width="11" style="111" customWidth="1"/>
    <col min="4870" max="4871" width="12.28515625" style="111" customWidth="1"/>
    <col min="4872" max="4872" width="6.42578125" style="111" customWidth="1"/>
    <col min="4873" max="4873" width="9.140625" style="111" customWidth="1"/>
    <col min="4874" max="4874" width="6.85546875" style="111" customWidth="1"/>
    <col min="4875" max="4875" width="10.42578125" style="111" customWidth="1"/>
    <col min="4876" max="4876" width="10" style="111" customWidth="1"/>
    <col min="4877" max="4877" width="6.7109375" style="111" bestFit="1" customWidth="1"/>
    <col min="4878" max="4878" width="9.140625" style="111" customWidth="1"/>
    <col min="4879" max="5118" width="9.140625" style="111"/>
    <col min="5119" max="5119" width="82" style="111" customWidth="1"/>
    <col min="5120" max="5120" width="10.7109375" style="111" customWidth="1"/>
    <col min="5121" max="5121" width="8.5703125" style="111" customWidth="1"/>
    <col min="5122" max="5122" width="10.85546875" style="111" customWidth="1"/>
    <col min="5123" max="5123" width="8.85546875" style="111" customWidth="1"/>
    <col min="5124" max="5124" width="13.85546875" style="111" customWidth="1"/>
    <col min="5125" max="5125" width="11" style="111" customWidth="1"/>
    <col min="5126" max="5127" width="12.28515625" style="111" customWidth="1"/>
    <col min="5128" max="5128" width="6.42578125" style="111" customWidth="1"/>
    <col min="5129" max="5129" width="9.140625" style="111" customWidth="1"/>
    <col min="5130" max="5130" width="6.85546875" style="111" customWidth="1"/>
    <col min="5131" max="5131" width="10.42578125" style="111" customWidth="1"/>
    <col min="5132" max="5132" width="10" style="111" customWidth="1"/>
    <col min="5133" max="5133" width="6.7109375" style="111" bestFit="1" customWidth="1"/>
    <col min="5134" max="5134" width="9.140625" style="111" customWidth="1"/>
    <col min="5135" max="5374" width="9.140625" style="111"/>
    <col min="5375" max="5375" width="82" style="111" customWidth="1"/>
    <col min="5376" max="5376" width="10.7109375" style="111" customWidth="1"/>
    <col min="5377" max="5377" width="8.5703125" style="111" customWidth="1"/>
    <col min="5378" max="5378" width="10.85546875" style="111" customWidth="1"/>
    <col min="5379" max="5379" width="8.85546875" style="111" customWidth="1"/>
    <col min="5380" max="5380" width="13.85546875" style="111" customWidth="1"/>
    <col min="5381" max="5381" width="11" style="111" customWidth="1"/>
    <col min="5382" max="5383" width="12.28515625" style="111" customWidth="1"/>
    <col min="5384" max="5384" width="6.42578125" style="111" customWidth="1"/>
    <col min="5385" max="5385" width="9.140625" style="111" customWidth="1"/>
    <col min="5386" max="5386" width="6.85546875" style="111" customWidth="1"/>
    <col min="5387" max="5387" width="10.42578125" style="111" customWidth="1"/>
    <col min="5388" max="5388" width="10" style="111" customWidth="1"/>
    <col min="5389" max="5389" width="6.7109375" style="111" bestFit="1" customWidth="1"/>
    <col min="5390" max="5390" width="9.140625" style="111" customWidth="1"/>
    <col min="5391" max="5630" width="9.140625" style="111"/>
    <col min="5631" max="5631" width="82" style="111" customWidth="1"/>
    <col min="5632" max="5632" width="10.7109375" style="111" customWidth="1"/>
    <col min="5633" max="5633" width="8.5703125" style="111" customWidth="1"/>
    <col min="5634" max="5634" width="10.85546875" style="111" customWidth="1"/>
    <col min="5635" max="5635" width="8.85546875" style="111" customWidth="1"/>
    <col min="5636" max="5636" width="13.85546875" style="111" customWidth="1"/>
    <col min="5637" max="5637" width="11" style="111" customWidth="1"/>
    <col min="5638" max="5639" width="12.28515625" style="111" customWidth="1"/>
    <col min="5640" max="5640" width="6.42578125" style="111" customWidth="1"/>
    <col min="5641" max="5641" width="9.140625" style="111" customWidth="1"/>
    <col min="5642" max="5642" width="6.85546875" style="111" customWidth="1"/>
    <col min="5643" max="5643" width="10.42578125" style="111" customWidth="1"/>
    <col min="5644" max="5644" width="10" style="111" customWidth="1"/>
    <col min="5645" max="5645" width="6.7109375" style="111" bestFit="1" customWidth="1"/>
    <col min="5646" max="5646" width="9.140625" style="111" customWidth="1"/>
    <col min="5647" max="5886" width="9.140625" style="111"/>
    <col min="5887" max="5887" width="82" style="111" customWidth="1"/>
    <col min="5888" max="5888" width="10.7109375" style="111" customWidth="1"/>
    <col min="5889" max="5889" width="8.5703125" style="111" customWidth="1"/>
    <col min="5890" max="5890" width="10.85546875" style="111" customWidth="1"/>
    <col min="5891" max="5891" width="8.85546875" style="111" customWidth="1"/>
    <col min="5892" max="5892" width="13.85546875" style="111" customWidth="1"/>
    <col min="5893" max="5893" width="11" style="111" customWidth="1"/>
    <col min="5894" max="5895" width="12.28515625" style="111" customWidth="1"/>
    <col min="5896" max="5896" width="6.42578125" style="111" customWidth="1"/>
    <col min="5897" max="5897" width="9.140625" style="111" customWidth="1"/>
    <col min="5898" max="5898" width="6.85546875" style="111" customWidth="1"/>
    <col min="5899" max="5899" width="10.42578125" style="111" customWidth="1"/>
    <col min="5900" max="5900" width="10" style="111" customWidth="1"/>
    <col min="5901" max="5901" width="6.7109375" style="111" bestFit="1" customWidth="1"/>
    <col min="5902" max="5902" width="9.140625" style="111" customWidth="1"/>
    <col min="5903" max="6142" width="9.140625" style="111"/>
    <col min="6143" max="6143" width="82" style="111" customWidth="1"/>
    <col min="6144" max="6144" width="10.7109375" style="111" customWidth="1"/>
    <col min="6145" max="6145" width="8.5703125" style="111" customWidth="1"/>
    <col min="6146" max="6146" width="10.85546875" style="111" customWidth="1"/>
    <col min="6147" max="6147" width="8.85546875" style="111" customWidth="1"/>
    <col min="6148" max="6148" width="13.85546875" style="111" customWidth="1"/>
    <col min="6149" max="6149" width="11" style="111" customWidth="1"/>
    <col min="6150" max="6151" width="12.28515625" style="111" customWidth="1"/>
    <col min="6152" max="6152" width="6.42578125" style="111" customWidth="1"/>
    <col min="6153" max="6153" width="9.140625" style="111" customWidth="1"/>
    <col min="6154" max="6154" width="6.85546875" style="111" customWidth="1"/>
    <col min="6155" max="6155" width="10.42578125" style="111" customWidth="1"/>
    <col min="6156" max="6156" width="10" style="111" customWidth="1"/>
    <col min="6157" max="6157" width="6.7109375" style="111" bestFit="1" customWidth="1"/>
    <col min="6158" max="6158" width="9.140625" style="111" customWidth="1"/>
    <col min="6159" max="6398" width="9.140625" style="111"/>
    <col min="6399" max="6399" width="82" style="111" customWidth="1"/>
    <col min="6400" max="6400" width="10.7109375" style="111" customWidth="1"/>
    <col min="6401" max="6401" width="8.5703125" style="111" customWidth="1"/>
    <col min="6402" max="6402" width="10.85546875" style="111" customWidth="1"/>
    <col min="6403" max="6403" width="8.85546875" style="111" customWidth="1"/>
    <col min="6404" max="6404" width="13.85546875" style="111" customWidth="1"/>
    <col min="6405" max="6405" width="11" style="111" customWidth="1"/>
    <col min="6406" max="6407" width="12.28515625" style="111" customWidth="1"/>
    <col min="6408" max="6408" width="6.42578125" style="111" customWidth="1"/>
    <col min="6409" max="6409" width="9.140625" style="111" customWidth="1"/>
    <col min="6410" max="6410" width="6.85546875" style="111" customWidth="1"/>
    <col min="6411" max="6411" width="10.42578125" style="111" customWidth="1"/>
    <col min="6412" max="6412" width="10" style="111" customWidth="1"/>
    <col min="6413" max="6413" width="6.7109375" style="111" bestFit="1" customWidth="1"/>
    <col min="6414" max="6414" width="9.140625" style="111" customWidth="1"/>
    <col min="6415" max="6654" width="9.140625" style="111"/>
    <col min="6655" max="6655" width="82" style="111" customWidth="1"/>
    <col min="6656" max="6656" width="10.7109375" style="111" customWidth="1"/>
    <col min="6657" max="6657" width="8.5703125" style="111" customWidth="1"/>
    <col min="6658" max="6658" width="10.85546875" style="111" customWidth="1"/>
    <col min="6659" max="6659" width="8.85546875" style="111" customWidth="1"/>
    <col min="6660" max="6660" width="13.85546875" style="111" customWidth="1"/>
    <col min="6661" max="6661" width="11" style="111" customWidth="1"/>
    <col min="6662" max="6663" width="12.28515625" style="111" customWidth="1"/>
    <col min="6664" max="6664" width="6.42578125" style="111" customWidth="1"/>
    <col min="6665" max="6665" width="9.140625" style="111" customWidth="1"/>
    <col min="6666" max="6666" width="6.85546875" style="111" customWidth="1"/>
    <col min="6667" max="6667" width="10.42578125" style="111" customWidth="1"/>
    <col min="6668" max="6668" width="10" style="111" customWidth="1"/>
    <col min="6669" max="6669" width="6.7109375" style="111" bestFit="1" customWidth="1"/>
    <col min="6670" max="6670" width="9.140625" style="111" customWidth="1"/>
    <col min="6671" max="6910" width="9.140625" style="111"/>
    <col min="6911" max="6911" width="82" style="111" customWidth="1"/>
    <col min="6912" max="6912" width="10.7109375" style="111" customWidth="1"/>
    <col min="6913" max="6913" width="8.5703125" style="111" customWidth="1"/>
    <col min="6914" max="6914" width="10.85546875" style="111" customWidth="1"/>
    <col min="6915" max="6915" width="8.85546875" style="111" customWidth="1"/>
    <col min="6916" max="6916" width="13.85546875" style="111" customWidth="1"/>
    <col min="6917" max="6917" width="11" style="111" customWidth="1"/>
    <col min="6918" max="6919" width="12.28515625" style="111" customWidth="1"/>
    <col min="6920" max="6920" width="6.42578125" style="111" customWidth="1"/>
    <col min="6921" max="6921" width="9.140625" style="111" customWidth="1"/>
    <col min="6922" max="6922" width="6.85546875" style="111" customWidth="1"/>
    <col min="6923" max="6923" width="10.42578125" style="111" customWidth="1"/>
    <col min="6924" max="6924" width="10" style="111" customWidth="1"/>
    <col min="6925" max="6925" width="6.7109375" style="111" bestFit="1" customWidth="1"/>
    <col min="6926" max="6926" width="9.140625" style="111" customWidth="1"/>
    <col min="6927" max="7166" width="9.140625" style="111"/>
    <col min="7167" max="7167" width="82" style="111" customWidth="1"/>
    <col min="7168" max="7168" width="10.7109375" style="111" customWidth="1"/>
    <col min="7169" max="7169" width="8.5703125" style="111" customWidth="1"/>
    <col min="7170" max="7170" width="10.85546875" style="111" customWidth="1"/>
    <col min="7171" max="7171" width="8.85546875" style="111" customWidth="1"/>
    <col min="7172" max="7172" width="13.85546875" style="111" customWidth="1"/>
    <col min="7173" max="7173" width="11" style="111" customWidth="1"/>
    <col min="7174" max="7175" width="12.28515625" style="111" customWidth="1"/>
    <col min="7176" max="7176" width="6.42578125" style="111" customWidth="1"/>
    <col min="7177" max="7177" width="9.140625" style="111" customWidth="1"/>
    <col min="7178" max="7178" width="6.85546875" style="111" customWidth="1"/>
    <col min="7179" max="7179" width="10.42578125" style="111" customWidth="1"/>
    <col min="7180" max="7180" width="10" style="111" customWidth="1"/>
    <col min="7181" max="7181" width="6.7109375" style="111" bestFit="1" customWidth="1"/>
    <col min="7182" max="7182" width="9.140625" style="111" customWidth="1"/>
    <col min="7183" max="7422" width="9.140625" style="111"/>
    <col min="7423" max="7423" width="82" style="111" customWidth="1"/>
    <col min="7424" max="7424" width="10.7109375" style="111" customWidth="1"/>
    <col min="7425" max="7425" width="8.5703125" style="111" customWidth="1"/>
    <col min="7426" max="7426" width="10.85546875" style="111" customWidth="1"/>
    <col min="7427" max="7427" width="8.85546875" style="111" customWidth="1"/>
    <col min="7428" max="7428" width="13.85546875" style="111" customWidth="1"/>
    <col min="7429" max="7429" width="11" style="111" customWidth="1"/>
    <col min="7430" max="7431" width="12.28515625" style="111" customWidth="1"/>
    <col min="7432" max="7432" width="6.42578125" style="111" customWidth="1"/>
    <col min="7433" max="7433" width="9.140625" style="111" customWidth="1"/>
    <col min="7434" max="7434" width="6.85546875" style="111" customWidth="1"/>
    <col min="7435" max="7435" width="10.42578125" style="111" customWidth="1"/>
    <col min="7436" max="7436" width="10" style="111" customWidth="1"/>
    <col min="7437" max="7437" width="6.7109375" style="111" bestFit="1" customWidth="1"/>
    <col min="7438" max="7438" width="9.140625" style="111" customWidth="1"/>
    <col min="7439" max="7678" width="9.140625" style="111"/>
    <col min="7679" max="7679" width="82" style="111" customWidth="1"/>
    <col min="7680" max="7680" width="10.7109375" style="111" customWidth="1"/>
    <col min="7681" max="7681" width="8.5703125" style="111" customWidth="1"/>
    <col min="7682" max="7682" width="10.85546875" style="111" customWidth="1"/>
    <col min="7683" max="7683" width="8.85546875" style="111" customWidth="1"/>
    <col min="7684" max="7684" width="13.85546875" style="111" customWidth="1"/>
    <col min="7685" max="7685" width="11" style="111" customWidth="1"/>
    <col min="7686" max="7687" width="12.28515625" style="111" customWidth="1"/>
    <col min="7688" max="7688" width="6.42578125" style="111" customWidth="1"/>
    <col min="7689" max="7689" width="9.140625" style="111" customWidth="1"/>
    <col min="7690" max="7690" width="6.85546875" style="111" customWidth="1"/>
    <col min="7691" max="7691" width="10.42578125" style="111" customWidth="1"/>
    <col min="7692" max="7692" width="10" style="111" customWidth="1"/>
    <col min="7693" max="7693" width="6.7109375" style="111" bestFit="1" customWidth="1"/>
    <col min="7694" max="7694" width="9.140625" style="111" customWidth="1"/>
    <col min="7695" max="7934" width="9.140625" style="111"/>
    <col min="7935" max="7935" width="82" style="111" customWidth="1"/>
    <col min="7936" max="7936" width="10.7109375" style="111" customWidth="1"/>
    <col min="7937" max="7937" width="8.5703125" style="111" customWidth="1"/>
    <col min="7938" max="7938" width="10.85546875" style="111" customWidth="1"/>
    <col min="7939" max="7939" width="8.85546875" style="111" customWidth="1"/>
    <col min="7940" max="7940" width="13.85546875" style="111" customWidth="1"/>
    <col min="7941" max="7941" width="11" style="111" customWidth="1"/>
    <col min="7942" max="7943" width="12.28515625" style="111" customWidth="1"/>
    <col min="7944" max="7944" width="6.42578125" style="111" customWidth="1"/>
    <col min="7945" max="7945" width="9.140625" style="111" customWidth="1"/>
    <col min="7946" max="7946" width="6.85546875" style="111" customWidth="1"/>
    <col min="7947" max="7947" width="10.42578125" style="111" customWidth="1"/>
    <col min="7948" max="7948" width="10" style="111" customWidth="1"/>
    <col min="7949" max="7949" width="6.7109375" style="111" bestFit="1" customWidth="1"/>
    <col min="7950" max="7950" width="9.140625" style="111" customWidth="1"/>
    <col min="7951" max="8190" width="9.140625" style="111"/>
    <col min="8191" max="8191" width="82" style="111" customWidth="1"/>
    <col min="8192" max="8192" width="10.7109375" style="111" customWidth="1"/>
    <col min="8193" max="8193" width="8.5703125" style="111" customWidth="1"/>
    <col min="8194" max="8194" width="10.85546875" style="111" customWidth="1"/>
    <col min="8195" max="8195" width="8.85546875" style="111" customWidth="1"/>
    <col min="8196" max="8196" width="13.85546875" style="111" customWidth="1"/>
    <col min="8197" max="8197" width="11" style="111" customWidth="1"/>
    <col min="8198" max="8199" width="12.28515625" style="111" customWidth="1"/>
    <col min="8200" max="8200" width="6.42578125" style="111" customWidth="1"/>
    <col min="8201" max="8201" width="9.140625" style="111" customWidth="1"/>
    <col min="8202" max="8202" width="6.85546875" style="111" customWidth="1"/>
    <col min="8203" max="8203" width="10.42578125" style="111" customWidth="1"/>
    <col min="8204" max="8204" width="10" style="111" customWidth="1"/>
    <col min="8205" max="8205" width="6.7109375" style="111" bestFit="1" customWidth="1"/>
    <col min="8206" max="8206" width="9.140625" style="111" customWidth="1"/>
    <col min="8207" max="8446" width="9.140625" style="111"/>
    <col min="8447" max="8447" width="82" style="111" customWidth="1"/>
    <col min="8448" max="8448" width="10.7109375" style="111" customWidth="1"/>
    <col min="8449" max="8449" width="8.5703125" style="111" customWidth="1"/>
    <col min="8450" max="8450" width="10.85546875" style="111" customWidth="1"/>
    <col min="8451" max="8451" width="8.85546875" style="111" customWidth="1"/>
    <col min="8452" max="8452" width="13.85546875" style="111" customWidth="1"/>
    <col min="8453" max="8453" width="11" style="111" customWidth="1"/>
    <col min="8454" max="8455" width="12.28515625" style="111" customWidth="1"/>
    <col min="8456" max="8456" width="6.42578125" style="111" customWidth="1"/>
    <col min="8457" max="8457" width="9.140625" style="111" customWidth="1"/>
    <col min="8458" max="8458" width="6.85546875" style="111" customWidth="1"/>
    <col min="8459" max="8459" width="10.42578125" style="111" customWidth="1"/>
    <col min="8460" max="8460" width="10" style="111" customWidth="1"/>
    <col min="8461" max="8461" width="6.7109375" style="111" bestFit="1" customWidth="1"/>
    <col min="8462" max="8462" width="9.140625" style="111" customWidth="1"/>
    <col min="8463" max="8702" width="9.140625" style="111"/>
    <col min="8703" max="8703" width="82" style="111" customWidth="1"/>
    <col min="8704" max="8704" width="10.7109375" style="111" customWidth="1"/>
    <col min="8705" max="8705" width="8.5703125" style="111" customWidth="1"/>
    <col min="8706" max="8706" width="10.85546875" style="111" customWidth="1"/>
    <col min="8707" max="8707" width="8.85546875" style="111" customWidth="1"/>
    <col min="8708" max="8708" width="13.85546875" style="111" customWidth="1"/>
    <col min="8709" max="8709" width="11" style="111" customWidth="1"/>
    <col min="8710" max="8711" width="12.28515625" style="111" customWidth="1"/>
    <col min="8712" max="8712" width="6.42578125" style="111" customWidth="1"/>
    <col min="8713" max="8713" width="9.140625" style="111" customWidth="1"/>
    <col min="8714" max="8714" width="6.85546875" style="111" customWidth="1"/>
    <col min="8715" max="8715" width="10.42578125" style="111" customWidth="1"/>
    <col min="8716" max="8716" width="10" style="111" customWidth="1"/>
    <col min="8717" max="8717" width="6.7109375" style="111" bestFit="1" customWidth="1"/>
    <col min="8718" max="8718" width="9.140625" style="111" customWidth="1"/>
    <col min="8719" max="8958" width="9.140625" style="111"/>
    <col min="8959" max="8959" width="82" style="111" customWidth="1"/>
    <col min="8960" max="8960" width="10.7109375" style="111" customWidth="1"/>
    <col min="8961" max="8961" width="8.5703125" style="111" customWidth="1"/>
    <col min="8962" max="8962" width="10.85546875" style="111" customWidth="1"/>
    <col min="8963" max="8963" width="8.85546875" style="111" customWidth="1"/>
    <col min="8964" max="8964" width="13.85546875" style="111" customWidth="1"/>
    <col min="8965" max="8965" width="11" style="111" customWidth="1"/>
    <col min="8966" max="8967" width="12.28515625" style="111" customWidth="1"/>
    <col min="8968" max="8968" width="6.42578125" style="111" customWidth="1"/>
    <col min="8969" max="8969" width="9.140625" style="111" customWidth="1"/>
    <col min="8970" max="8970" width="6.85546875" style="111" customWidth="1"/>
    <col min="8971" max="8971" width="10.42578125" style="111" customWidth="1"/>
    <col min="8972" max="8972" width="10" style="111" customWidth="1"/>
    <col min="8973" max="8973" width="6.7109375" style="111" bestFit="1" customWidth="1"/>
    <col min="8974" max="8974" width="9.140625" style="111" customWidth="1"/>
    <col min="8975" max="9214" width="9.140625" style="111"/>
    <col min="9215" max="9215" width="82" style="111" customWidth="1"/>
    <col min="9216" max="9216" width="10.7109375" style="111" customWidth="1"/>
    <col min="9217" max="9217" width="8.5703125" style="111" customWidth="1"/>
    <col min="9218" max="9218" width="10.85546875" style="111" customWidth="1"/>
    <col min="9219" max="9219" width="8.85546875" style="111" customWidth="1"/>
    <col min="9220" max="9220" width="13.85546875" style="111" customWidth="1"/>
    <col min="9221" max="9221" width="11" style="111" customWidth="1"/>
    <col min="9222" max="9223" width="12.28515625" style="111" customWidth="1"/>
    <col min="9224" max="9224" width="6.42578125" style="111" customWidth="1"/>
    <col min="9225" max="9225" width="9.140625" style="111" customWidth="1"/>
    <col min="9226" max="9226" width="6.85546875" style="111" customWidth="1"/>
    <col min="9227" max="9227" width="10.42578125" style="111" customWidth="1"/>
    <col min="9228" max="9228" width="10" style="111" customWidth="1"/>
    <col min="9229" max="9229" width="6.7109375" style="111" bestFit="1" customWidth="1"/>
    <col min="9230" max="9230" width="9.140625" style="111" customWidth="1"/>
    <col min="9231" max="9470" width="9.140625" style="111"/>
    <col min="9471" max="9471" width="82" style="111" customWidth="1"/>
    <col min="9472" max="9472" width="10.7109375" style="111" customWidth="1"/>
    <col min="9473" max="9473" width="8.5703125" style="111" customWidth="1"/>
    <col min="9474" max="9474" width="10.85546875" style="111" customWidth="1"/>
    <col min="9475" max="9475" width="8.85546875" style="111" customWidth="1"/>
    <col min="9476" max="9476" width="13.85546875" style="111" customWidth="1"/>
    <col min="9477" max="9477" width="11" style="111" customWidth="1"/>
    <col min="9478" max="9479" width="12.28515625" style="111" customWidth="1"/>
    <col min="9480" max="9480" width="6.42578125" style="111" customWidth="1"/>
    <col min="9481" max="9481" width="9.140625" style="111" customWidth="1"/>
    <col min="9482" max="9482" width="6.85546875" style="111" customWidth="1"/>
    <col min="9483" max="9483" width="10.42578125" style="111" customWidth="1"/>
    <col min="9484" max="9484" width="10" style="111" customWidth="1"/>
    <col min="9485" max="9485" width="6.7109375" style="111" bestFit="1" customWidth="1"/>
    <col min="9486" max="9486" width="9.140625" style="111" customWidth="1"/>
    <col min="9487" max="9726" width="9.140625" style="111"/>
    <col min="9727" max="9727" width="82" style="111" customWidth="1"/>
    <col min="9728" max="9728" width="10.7109375" style="111" customWidth="1"/>
    <col min="9729" max="9729" width="8.5703125" style="111" customWidth="1"/>
    <col min="9730" max="9730" width="10.85546875" style="111" customWidth="1"/>
    <col min="9731" max="9731" width="8.85546875" style="111" customWidth="1"/>
    <col min="9732" max="9732" width="13.85546875" style="111" customWidth="1"/>
    <col min="9733" max="9733" width="11" style="111" customWidth="1"/>
    <col min="9734" max="9735" width="12.28515625" style="111" customWidth="1"/>
    <col min="9736" max="9736" width="6.42578125" style="111" customWidth="1"/>
    <col min="9737" max="9737" width="9.140625" style="111" customWidth="1"/>
    <col min="9738" max="9738" width="6.85546875" style="111" customWidth="1"/>
    <col min="9739" max="9739" width="10.42578125" style="111" customWidth="1"/>
    <col min="9740" max="9740" width="10" style="111" customWidth="1"/>
    <col min="9741" max="9741" width="6.7109375" style="111" bestFit="1" customWidth="1"/>
    <col min="9742" max="9742" width="9.140625" style="111" customWidth="1"/>
    <col min="9743" max="9982" width="9.140625" style="111"/>
    <col min="9983" max="9983" width="82" style="111" customWidth="1"/>
    <col min="9984" max="9984" width="10.7109375" style="111" customWidth="1"/>
    <col min="9985" max="9985" width="8.5703125" style="111" customWidth="1"/>
    <col min="9986" max="9986" width="10.85546875" style="111" customWidth="1"/>
    <col min="9987" max="9987" width="8.85546875" style="111" customWidth="1"/>
    <col min="9988" max="9988" width="13.85546875" style="111" customWidth="1"/>
    <col min="9989" max="9989" width="11" style="111" customWidth="1"/>
    <col min="9990" max="9991" width="12.28515625" style="111" customWidth="1"/>
    <col min="9992" max="9992" width="6.42578125" style="111" customWidth="1"/>
    <col min="9993" max="9993" width="9.140625" style="111" customWidth="1"/>
    <col min="9994" max="9994" width="6.85546875" style="111" customWidth="1"/>
    <col min="9995" max="9995" width="10.42578125" style="111" customWidth="1"/>
    <col min="9996" max="9996" width="10" style="111" customWidth="1"/>
    <col min="9997" max="9997" width="6.7109375" style="111" bestFit="1" customWidth="1"/>
    <col min="9998" max="9998" width="9.140625" style="111" customWidth="1"/>
    <col min="9999" max="10238" width="9.140625" style="111"/>
    <col min="10239" max="10239" width="82" style="111" customWidth="1"/>
    <col min="10240" max="10240" width="10.7109375" style="111" customWidth="1"/>
    <col min="10241" max="10241" width="8.5703125" style="111" customWidth="1"/>
    <col min="10242" max="10242" width="10.85546875" style="111" customWidth="1"/>
    <col min="10243" max="10243" width="8.85546875" style="111" customWidth="1"/>
    <col min="10244" max="10244" width="13.85546875" style="111" customWidth="1"/>
    <col min="10245" max="10245" width="11" style="111" customWidth="1"/>
    <col min="10246" max="10247" width="12.28515625" style="111" customWidth="1"/>
    <col min="10248" max="10248" width="6.42578125" style="111" customWidth="1"/>
    <col min="10249" max="10249" width="9.140625" style="111" customWidth="1"/>
    <col min="10250" max="10250" width="6.85546875" style="111" customWidth="1"/>
    <col min="10251" max="10251" width="10.42578125" style="111" customWidth="1"/>
    <col min="10252" max="10252" width="10" style="111" customWidth="1"/>
    <col min="10253" max="10253" width="6.7109375" style="111" bestFit="1" customWidth="1"/>
    <col min="10254" max="10254" width="9.140625" style="111" customWidth="1"/>
    <col min="10255" max="10494" width="9.140625" style="111"/>
    <col min="10495" max="10495" width="82" style="111" customWidth="1"/>
    <col min="10496" max="10496" width="10.7109375" style="111" customWidth="1"/>
    <col min="10497" max="10497" width="8.5703125" style="111" customWidth="1"/>
    <col min="10498" max="10498" width="10.85546875" style="111" customWidth="1"/>
    <col min="10499" max="10499" width="8.85546875" style="111" customWidth="1"/>
    <col min="10500" max="10500" width="13.85546875" style="111" customWidth="1"/>
    <col min="10501" max="10501" width="11" style="111" customWidth="1"/>
    <col min="10502" max="10503" width="12.28515625" style="111" customWidth="1"/>
    <col min="10504" max="10504" width="6.42578125" style="111" customWidth="1"/>
    <col min="10505" max="10505" width="9.140625" style="111" customWidth="1"/>
    <col min="10506" max="10506" width="6.85546875" style="111" customWidth="1"/>
    <col min="10507" max="10507" width="10.42578125" style="111" customWidth="1"/>
    <col min="10508" max="10508" width="10" style="111" customWidth="1"/>
    <col min="10509" max="10509" width="6.7109375" style="111" bestFit="1" customWidth="1"/>
    <col min="10510" max="10510" width="9.140625" style="111" customWidth="1"/>
    <col min="10511" max="10750" width="9.140625" style="111"/>
    <col min="10751" max="10751" width="82" style="111" customWidth="1"/>
    <col min="10752" max="10752" width="10.7109375" style="111" customWidth="1"/>
    <col min="10753" max="10753" width="8.5703125" style="111" customWidth="1"/>
    <col min="10754" max="10754" width="10.85546875" style="111" customWidth="1"/>
    <col min="10755" max="10755" width="8.85546875" style="111" customWidth="1"/>
    <col min="10756" max="10756" width="13.85546875" style="111" customWidth="1"/>
    <col min="10757" max="10757" width="11" style="111" customWidth="1"/>
    <col min="10758" max="10759" width="12.28515625" style="111" customWidth="1"/>
    <col min="10760" max="10760" width="6.42578125" style="111" customWidth="1"/>
    <col min="10761" max="10761" width="9.140625" style="111" customWidth="1"/>
    <col min="10762" max="10762" width="6.85546875" style="111" customWidth="1"/>
    <col min="10763" max="10763" width="10.42578125" style="111" customWidth="1"/>
    <col min="10764" max="10764" width="10" style="111" customWidth="1"/>
    <col min="10765" max="10765" width="6.7109375" style="111" bestFit="1" customWidth="1"/>
    <col min="10766" max="10766" width="9.140625" style="111" customWidth="1"/>
    <col min="10767" max="11006" width="9.140625" style="111"/>
    <col min="11007" max="11007" width="82" style="111" customWidth="1"/>
    <col min="11008" max="11008" width="10.7109375" style="111" customWidth="1"/>
    <col min="11009" max="11009" width="8.5703125" style="111" customWidth="1"/>
    <col min="11010" max="11010" width="10.85546875" style="111" customWidth="1"/>
    <col min="11011" max="11011" width="8.85546875" style="111" customWidth="1"/>
    <col min="11012" max="11012" width="13.85546875" style="111" customWidth="1"/>
    <col min="11013" max="11013" width="11" style="111" customWidth="1"/>
    <col min="11014" max="11015" width="12.28515625" style="111" customWidth="1"/>
    <col min="11016" max="11016" width="6.42578125" style="111" customWidth="1"/>
    <col min="11017" max="11017" width="9.140625" style="111" customWidth="1"/>
    <col min="11018" max="11018" width="6.85546875" style="111" customWidth="1"/>
    <col min="11019" max="11019" width="10.42578125" style="111" customWidth="1"/>
    <col min="11020" max="11020" width="10" style="111" customWidth="1"/>
    <col min="11021" max="11021" width="6.7109375" style="111" bestFit="1" customWidth="1"/>
    <col min="11022" max="11022" width="9.140625" style="111" customWidth="1"/>
    <col min="11023" max="11262" width="9.140625" style="111"/>
    <col min="11263" max="11263" width="82" style="111" customWidth="1"/>
    <col min="11264" max="11264" width="10.7109375" style="111" customWidth="1"/>
    <col min="11265" max="11265" width="8.5703125" style="111" customWidth="1"/>
    <col min="11266" max="11266" width="10.85546875" style="111" customWidth="1"/>
    <col min="11267" max="11267" width="8.85546875" style="111" customWidth="1"/>
    <col min="11268" max="11268" width="13.85546875" style="111" customWidth="1"/>
    <col min="11269" max="11269" width="11" style="111" customWidth="1"/>
    <col min="11270" max="11271" width="12.28515625" style="111" customWidth="1"/>
    <col min="11272" max="11272" width="6.42578125" style="111" customWidth="1"/>
    <col min="11273" max="11273" width="9.140625" style="111" customWidth="1"/>
    <col min="11274" max="11274" width="6.85546875" style="111" customWidth="1"/>
    <col min="11275" max="11275" width="10.42578125" style="111" customWidth="1"/>
    <col min="11276" max="11276" width="10" style="111" customWidth="1"/>
    <col min="11277" max="11277" width="6.7109375" style="111" bestFit="1" customWidth="1"/>
    <col min="11278" max="11278" width="9.140625" style="111" customWidth="1"/>
    <col min="11279" max="11518" width="9.140625" style="111"/>
    <col min="11519" max="11519" width="82" style="111" customWidth="1"/>
    <col min="11520" max="11520" width="10.7109375" style="111" customWidth="1"/>
    <col min="11521" max="11521" width="8.5703125" style="111" customWidth="1"/>
    <col min="11522" max="11522" width="10.85546875" style="111" customWidth="1"/>
    <col min="11523" max="11523" width="8.85546875" style="111" customWidth="1"/>
    <col min="11524" max="11524" width="13.85546875" style="111" customWidth="1"/>
    <col min="11525" max="11525" width="11" style="111" customWidth="1"/>
    <col min="11526" max="11527" width="12.28515625" style="111" customWidth="1"/>
    <col min="11528" max="11528" width="6.42578125" style="111" customWidth="1"/>
    <col min="11529" max="11529" width="9.140625" style="111" customWidth="1"/>
    <col min="11530" max="11530" width="6.85546875" style="111" customWidth="1"/>
    <col min="11531" max="11531" width="10.42578125" style="111" customWidth="1"/>
    <col min="11532" max="11532" width="10" style="111" customWidth="1"/>
    <col min="11533" max="11533" width="6.7109375" style="111" bestFit="1" customWidth="1"/>
    <col min="11534" max="11534" width="9.140625" style="111" customWidth="1"/>
    <col min="11535" max="11774" width="9.140625" style="111"/>
    <col min="11775" max="11775" width="82" style="111" customWidth="1"/>
    <col min="11776" max="11776" width="10.7109375" style="111" customWidth="1"/>
    <col min="11777" max="11777" width="8.5703125" style="111" customWidth="1"/>
    <col min="11778" max="11778" width="10.85546875" style="111" customWidth="1"/>
    <col min="11779" max="11779" width="8.85546875" style="111" customWidth="1"/>
    <col min="11780" max="11780" width="13.85546875" style="111" customWidth="1"/>
    <col min="11781" max="11781" width="11" style="111" customWidth="1"/>
    <col min="11782" max="11783" width="12.28515625" style="111" customWidth="1"/>
    <col min="11784" max="11784" width="6.42578125" style="111" customWidth="1"/>
    <col min="11785" max="11785" width="9.140625" style="111" customWidth="1"/>
    <col min="11786" max="11786" width="6.85546875" style="111" customWidth="1"/>
    <col min="11787" max="11787" width="10.42578125" style="111" customWidth="1"/>
    <col min="11788" max="11788" width="10" style="111" customWidth="1"/>
    <col min="11789" max="11789" width="6.7109375" style="111" bestFit="1" customWidth="1"/>
    <col min="11790" max="11790" width="9.140625" style="111" customWidth="1"/>
    <col min="11791" max="12030" width="9.140625" style="111"/>
    <col min="12031" max="12031" width="82" style="111" customWidth="1"/>
    <col min="12032" max="12032" width="10.7109375" style="111" customWidth="1"/>
    <col min="12033" max="12033" width="8.5703125" style="111" customWidth="1"/>
    <col min="12034" max="12034" width="10.85546875" style="111" customWidth="1"/>
    <col min="12035" max="12035" width="8.85546875" style="111" customWidth="1"/>
    <col min="12036" max="12036" width="13.85546875" style="111" customWidth="1"/>
    <col min="12037" max="12037" width="11" style="111" customWidth="1"/>
    <col min="12038" max="12039" width="12.28515625" style="111" customWidth="1"/>
    <col min="12040" max="12040" width="6.42578125" style="111" customWidth="1"/>
    <col min="12041" max="12041" width="9.140625" style="111" customWidth="1"/>
    <col min="12042" max="12042" width="6.85546875" style="111" customWidth="1"/>
    <col min="12043" max="12043" width="10.42578125" style="111" customWidth="1"/>
    <col min="12044" max="12044" width="10" style="111" customWidth="1"/>
    <col min="12045" max="12045" width="6.7109375" style="111" bestFit="1" customWidth="1"/>
    <col min="12046" max="12046" width="9.140625" style="111" customWidth="1"/>
    <col min="12047" max="12286" width="9.140625" style="111"/>
    <col min="12287" max="12287" width="82" style="111" customWidth="1"/>
    <col min="12288" max="12288" width="10.7109375" style="111" customWidth="1"/>
    <col min="12289" max="12289" width="8.5703125" style="111" customWidth="1"/>
    <col min="12290" max="12290" width="10.85546875" style="111" customWidth="1"/>
    <col min="12291" max="12291" width="8.85546875" style="111" customWidth="1"/>
    <col min="12292" max="12292" width="13.85546875" style="111" customWidth="1"/>
    <col min="12293" max="12293" width="11" style="111" customWidth="1"/>
    <col min="12294" max="12295" width="12.28515625" style="111" customWidth="1"/>
    <col min="12296" max="12296" width="6.42578125" style="111" customWidth="1"/>
    <col min="12297" max="12297" width="9.140625" style="111" customWidth="1"/>
    <col min="12298" max="12298" width="6.85546875" style="111" customWidth="1"/>
    <col min="12299" max="12299" width="10.42578125" style="111" customWidth="1"/>
    <col min="12300" max="12300" width="10" style="111" customWidth="1"/>
    <col min="12301" max="12301" width="6.7109375" style="111" bestFit="1" customWidth="1"/>
    <col min="12302" max="12302" width="9.140625" style="111" customWidth="1"/>
    <col min="12303" max="12542" width="9.140625" style="111"/>
    <col min="12543" max="12543" width="82" style="111" customWidth="1"/>
    <col min="12544" max="12544" width="10.7109375" style="111" customWidth="1"/>
    <col min="12545" max="12545" width="8.5703125" style="111" customWidth="1"/>
    <col min="12546" max="12546" width="10.85546875" style="111" customWidth="1"/>
    <col min="12547" max="12547" width="8.85546875" style="111" customWidth="1"/>
    <col min="12548" max="12548" width="13.85546875" style="111" customWidth="1"/>
    <col min="12549" max="12549" width="11" style="111" customWidth="1"/>
    <col min="12550" max="12551" width="12.28515625" style="111" customWidth="1"/>
    <col min="12552" max="12552" width="6.42578125" style="111" customWidth="1"/>
    <col min="12553" max="12553" width="9.140625" style="111" customWidth="1"/>
    <col min="12554" max="12554" width="6.85546875" style="111" customWidth="1"/>
    <col min="12555" max="12555" width="10.42578125" style="111" customWidth="1"/>
    <col min="12556" max="12556" width="10" style="111" customWidth="1"/>
    <col min="12557" max="12557" width="6.7109375" style="111" bestFit="1" customWidth="1"/>
    <col min="12558" max="12558" width="9.140625" style="111" customWidth="1"/>
    <col min="12559" max="12798" width="9.140625" style="111"/>
    <col min="12799" max="12799" width="82" style="111" customWidth="1"/>
    <col min="12800" max="12800" width="10.7109375" style="111" customWidth="1"/>
    <col min="12801" max="12801" width="8.5703125" style="111" customWidth="1"/>
    <col min="12802" max="12802" width="10.85546875" style="111" customWidth="1"/>
    <col min="12803" max="12803" width="8.85546875" style="111" customWidth="1"/>
    <col min="12804" max="12804" width="13.85546875" style="111" customWidth="1"/>
    <col min="12805" max="12805" width="11" style="111" customWidth="1"/>
    <col min="12806" max="12807" width="12.28515625" style="111" customWidth="1"/>
    <col min="12808" max="12808" width="6.42578125" style="111" customWidth="1"/>
    <col min="12809" max="12809" width="9.140625" style="111" customWidth="1"/>
    <col min="12810" max="12810" width="6.85546875" style="111" customWidth="1"/>
    <col min="12811" max="12811" width="10.42578125" style="111" customWidth="1"/>
    <col min="12812" max="12812" width="10" style="111" customWidth="1"/>
    <col min="12813" max="12813" width="6.7109375" style="111" bestFit="1" customWidth="1"/>
    <col min="12814" max="12814" width="9.140625" style="111" customWidth="1"/>
    <col min="12815" max="13054" width="9.140625" style="111"/>
    <col min="13055" max="13055" width="82" style="111" customWidth="1"/>
    <col min="13056" max="13056" width="10.7109375" style="111" customWidth="1"/>
    <col min="13057" max="13057" width="8.5703125" style="111" customWidth="1"/>
    <col min="13058" max="13058" width="10.85546875" style="111" customWidth="1"/>
    <col min="13059" max="13059" width="8.85546875" style="111" customWidth="1"/>
    <col min="13060" max="13060" width="13.85546875" style="111" customWidth="1"/>
    <col min="13061" max="13061" width="11" style="111" customWidth="1"/>
    <col min="13062" max="13063" width="12.28515625" style="111" customWidth="1"/>
    <col min="13064" max="13064" width="6.42578125" style="111" customWidth="1"/>
    <col min="13065" max="13065" width="9.140625" style="111" customWidth="1"/>
    <col min="13066" max="13066" width="6.85546875" style="111" customWidth="1"/>
    <col min="13067" max="13067" width="10.42578125" style="111" customWidth="1"/>
    <col min="13068" max="13068" width="10" style="111" customWidth="1"/>
    <col min="13069" max="13069" width="6.7109375" style="111" bestFit="1" customWidth="1"/>
    <col min="13070" max="13070" width="9.140625" style="111" customWidth="1"/>
    <col min="13071" max="13310" width="9.140625" style="111"/>
    <col min="13311" max="13311" width="82" style="111" customWidth="1"/>
    <col min="13312" max="13312" width="10.7109375" style="111" customWidth="1"/>
    <col min="13313" max="13313" width="8.5703125" style="111" customWidth="1"/>
    <col min="13314" max="13314" width="10.85546875" style="111" customWidth="1"/>
    <col min="13315" max="13315" width="8.85546875" style="111" customWidth="1"/>
    <col min="13316" max="13316" width="13.85546875" style="111" customWidth="1"/>
    <col min="13317" max="13317" width="11" style="111" customWidth="1"/>
    <col min="13318" max="13319" width="12.28515625" style="111" customWidth="1"/>
    <col min="13320" max="13320" width="6.42578125" style="111" customWidth="1"/>
    <col min="13321" max="13321" width="9.140625" style="111" customWidth="1"/>
    <col min="13322" max="13322" width="6.85546875" style="111" customWidth="1"/>
    <col min="13323" max="13323" width="10.42578125" style="111" customWidth="1"/>
    <col min="13324" max="13324" width="10" style="111" customWidth="1"/>
    <col min="13325" max="13325" width="6.7109375" style="111" bestFit="1" customWidth="1"/>
    <col min="13326" max="13326" width="9.140625" style="111" customWidth="1"/>
    <col min="13327" max="13566" width="9.140625" style="111"/>
    <col min="13567" max="13567" width="82" style="111" customWidth="1"/>
    <col min="13568" max="13568" width="10.7109375" style="111" customWidth="1"/>
    <col min="13569" max="13569" width="8.5703125" style="111" customWidth="1"/>
    <col min="13570" max="13570" width="10.85546875" style="111" customWidth="1"/>
    <col min="13571" max="13571" width="8.85546875" style="111" customWidth="1"/>
    <col min="13572" max="13572" width="13.85546875" style="111" customWidth="1"/>
    <col min="13573" max="13573" width="11" style="111" customWidth="1"/>
    <col min="13574" max="13575" width="12.28515625" style="111" customWidth="1"/>
    <col min="13576" max="13576" width="6.42578125" style="111" customWidth="1"/>
    <col min="13577" max="13577" width="9.140625" style="111" customWidth="1"/>
    <col min="13578" max="13578" width="6.85546875" style="111" customWidth="1"/>
    <col min="13579" max="13579" width="10.42578125" style="111" customWidth="1"/>
    <col min="13580" max="13580" width="10" style="111" customWidth="1"/>
    <col min="13581" max="13581" width="6.7109375" style="111" bestFit="1" customWidth="1"/>
    <col min="13582" max="13582" width="9.140625" style="111" customWidth="1"/>
    <col min="13583" max="13822" width="9.140625" style="111"/>
    <col min="13823" max="13823" width="82" style="111" customWidth="1"/>
    <col min="13824" max="13824" width="10.7109375" style="111" customWidth="1"/>
    <col min="13825" max="13825" width="8.5703125" style="111" customWidth="1"/>
    <col min="13826" max="13826" width="10.85546875" style="111" customWidth="1"/>
    <col min="13827" max="13827" width="8.85546875" style="111" customWidth="1"/>
    <col min="13828" max="13828" width="13.85546875" style="111" customWidth="1"/>
    <col min="13829" max="13829" width="11" style="111" customWidth="1"/>
    <col min="13830" max="13831" width="12.28515625" style="111" customWidth="1"/>
    <col min="13832" max="13832" width="6.42578125" style="111" customWidth="1"/>
    <col min="13833" max="13833" width="9.140625" style="111" customWidth="1"/>
    <col min="13834" max="13834" width="6.85546875" style="111" customWidth="1"/>
    <col min="13835" max="13835" width="10.42578125" style="111" customWidth="1"/>
    <col min="13836" max="13836" width="10" style="111" customWidth="1"/>
    <col min="13837" max="13837" width="6.7109375" style="111" bestFit="1" customWidth="1"/>
    <col min="13838" max="13838" width="9.140625" style="111" customWidth="1"/>
    <col min="13839" max="14078" width="9.140625" style="111"/>
    <col min="14079" max="14079" width="82" style="111" customWidth="1"/>
    <col min="14080" max="14080" width="10.7109375" style="111" customWidth="1"/>
    <col min="14081" max="14081" width="8.5703125" style="111" customWidth="1"/>
    <col min="14082" max="14082" width="10.85546875" style="111" customWidth="1"/>
    <col min="14083" max="14083" width="8.85546875" style="111" customWidth="1"/>
    <col min="14084" max="14084" width="13.85546875" style="111" customWidth="1"/>
    <col min="14085" max="14085" width="11" style="111" customWidth="1"/>
    <col min="14086" max="14087" width="12.28515625" style="111" customWidth="1"/>
    <col min="14088" max="14088" width="6.42578125" style="111" customWidth="1"/>
    <col min="14089" max="14089" width="9.140625" style="111" customWidth="1"/>
    <col min="14090" max="14090" width="6.85546875" style="111" customWidth="1"/>
    <col min="14091" max="14091" width="10.42578125" style="111" customWidth="1"/>
    <col min="14092" max="14092" width="10" style="111" customWidth="1"/>
    <col min="14093" max="14093" width="6.7109375" style="111" bestFit="1" customWidth="1"/>
    <col min="14094" max="14094" width="9.140625" style="111" customWidth="1"/>
    <col min="14095" max="14334" width="9.140625" style="111"/>
    <col min="14335" max="14335" width="82" style="111" customWidth="1"/>
    <col min="14336" max="14336" width="10.7109375" style="111" customWidth="1"/>
    <col min="14337" max="14337" width="8.5703125" style="111" customWidth="1"/>
    <col min="14338" max="14338" width="10.85546875" style="111" customWidth="1"/>
    <col min="14339" max="14339" width="8.85546875" style="111" customWidth="1"/>
    <col min="14340" max="14340" width="13.85546875" style="111" customWidth="1"/>
    <col min="14341" max="14341" width="11" style="111" customWidth="1"/>
    <col min="14342" max="14343" width="12.28515625" style="111" customWidth="1"/>
    <col min="14344" max="14344" width="6.42578125" style="111" customWidth="1"/>
    <col min="14345" max="14345" width="9.140625" style="111" customWidth="1"/>
    <col min="14346" max="14346" width="6.85546875" style="111" customWidth="1"/>
    <col min="14347" max="14347" width="10.42578125" style="111" customWidth="1"/>
    <col min="14348" max="14348" width="10" style="111" customWidth="1"/>
    <col min="14349" max="14349" width="6.7109375" style="111" bestFit="1" customWidth="1"/>
    <col min="14350" max="14350" width="9.140625" style="111" customWidth="1"/>
    <col min="14351" max="14590" width="9.140625" style="111"/>
    <col min="14591" max="14591" width="82" style="111" customWidth="1"/>
    <col min="14592" max="14592" width="10.7109375" style="111" customWidth="1"/>
    <col min="14593" max="14593" width="8.5703125" style="111" customWidth="1"/>
    <col min="14594" max="14594" width="10.85546875" style="111" customWidth="1"/>
    <col min="14595" max="14595" width="8.85546875" style="111" customWidth="1"/>
    <col min="14596" max="14596" width="13.85546875" style="111" customWidth="1"/>
    <col min="14597" max="14597" width="11" style="111" customWidth="1"/>
    <col min="14598" max="14599" width="12.28515625" style="111" customWidth="1"/>
    <col min="14600" max="14600" width="6.42578125" style="111" customWidth="1"/>
    <col min="14601" max="14601" width="9.140625" style="111" customWidth="1"/>
    <col min="14602" max="14602" width="6.85546875" style="111" customWidth="1"/>
    <col min="14603" max="14603" width="10.42578125" style="111" customWidth="1"/>
    <col min="14604" max="14604" width="10" style="111" customWidth="1"/>
    <col min="14605" max="14605" width="6.7109375" style="111" bestFit="1" customWidth="1"/>
    <col min="14606" max="14606" width="9.140625" style="111" customWidth="1"/>
    <col min="14607" max="14846" width="9.140625" style="111"/>
    <col min="14847" max="14847" width="82" style="111" customWidth="1"/>
    <col min="14848" max="14848" width="10.7109375" style="111" customWidth="1"/>
    <col min="14849" max="14849" width="8.5703125" style="111" customWidth="1"/>
    <col min="14850" max="14850" width="10.85546875" style="111" customWidth="1"/>
    <col min="14851" max="14851" width="8.85546875" style="111" customWidth="1"/>
    <col min="14852" max="14852" width="13.85546875" style="111" customWidth="1"/>
    <col min="14853" max="14853" width="11" style="111" customWidth="1"/>
    <col min="14854" max="14855" width="12.28515625" style="111" customWidth="1"/>
    <col min="14856" max="14856" width="6.42578125" style="111" customWidth="1"/>
    <col min="14857" max="14857" width="9.140625" style="111" customWidth="1"/>
    <col min="14858" max="14858" width="6.85546875" style="111" customWidth="1"/>
    <col min="14859" max="14859" width="10.42578125" style="111" customWidth="1"/>
    <col min="14860" max="14860" width="10" style="111" customWidth="1"/>
    <col min="14861" max="14861" width="6.7109375" style="111" bestFit="1" customWidth="1"/>
    <col min="14862" max="14862" width="9.140625" style="111" customWidth="1"/>
    <col min="14863" max="15102" width="9.140625" style="111"/>
    <col min="15103" max="15103" width="82" style="111" customWidth="1"/>
    <col min="15104" max="15104" width="10.7109375" style="111" customWidth="1"/>
    <col min="15105" max="15105" width="8.5703125" style="111" customWidth="1"/>
    <col min="15106" max="15106" width="10.85546875" style="111" customWidth="1"/>
    <col min="15107" max="15107" width="8.85546875" style="111" customWidth="1"/>
    <col min="15108" max="15108" width="13.85546875" style="111" customWidth="1"/>
    <col min="15109" max="15109" width="11" style="111" customWidth="1"/>
    <col min="15110" max="15111" width="12.28515625" style="111" customWidth="1"/>
    <col min="15112" max="15112" width="6.42578125" style="111" customWidth="1"/>
    <col min="15113" max="15113" width="9.140625" style="111" customWidth="1"/>
    <col min="15114" max="15114" width="6.85546875" style="111" customWidth="1"/>
    <col min="15115" max="15115" width="10.42578125" style="111" customWidth="1"/>
    <col min="15116" max="15116" width="10" style="111" customWidth="1"/>
    <col min="15117" max="15117" width="6.7109375" style="111" bestFit="1" customWidth="1"/>
    <col min="15118" max="15118" width="9.140625" style="111" customWidth="1"/>
    <col min="15119" max="15358" width="9.140625" style="111"/>
    <col min="15359" max="15359" width="82" style="111" customWidth="1"/>
    <col min="15360" max="15360" width="10.7109375" style="111" customWidth="1"/>
    <col min="15361" max="15361" width="8.5703125" style="111" customWidth="1"/>
    <col min="15362" max="15362" width="10.85546875" style="111" customWidth="1"/>
    <col min="15363" max="15363" width="8.85546875" style="111" customWidth="1"/>
    <col min="15364" max="15364" width="13.85546875" style="111" customWidth="1"/>
    <col min="15365" max="15365" width="11" style="111" customWidth="1"/>
    <col min="15366" max="15367" width="12.28515625" style="111" customWidth="1"/>
    <col min="15368" max="15368" width="6.42578125" style="111" customWidth="1"/>
    <col min="15369" max="15369" width="9.140625" style="111" customWidth="1"/>
    <col min="15370" max="15370" width="6.85546875" style="111" customWidth="1"/>
    <col min="15371" max="15371" width="10.42578125" style="111" customWidth="1"/>
    <col min="15372" max="15372" width="10" style="111" customWidth="1"/>
    <col min="15373" max="15373" width="6.7109375" style="111" bestFit="1" customWidth="1"/>
    <col min="15374" max="15374" width="9.140625" style="111" customWidth="1"/>
    <col min="15375" max="15614" width="9.140625" style="111"/>
    <col min="15615" max="15615" width="82" style="111" customWidth="1"/>
    <col min="15616" max="15616" width="10.7109375" style="111" customWidth="1"/>
    <col min="15617" max="15617" width="8.5703125" style="111" customWidth="1"/>
    <col min="15618" max="15618" width="10.85546875" style="111" customWidth="1"/>
    <col min="15619" max="15619" width="8.85546875" style="111" customWidth="1"/>
    <col min="15620" max="15620" width="13.85546875" style="111" customWidth="1"/>
    <col min="15621" max="15621" width="11" style="111" customWidth="1"/>
    <col min="15622" max="15623" width="12.28515625" style="111" customWidth="1"/>
    <col min="15624" max="15624" width="6.42578125" style="111" customWidth="1"/>
    <col min="15625" max="15625" width="9.140625" style="111" customWidth="1"/>
    <col min="15626" max="15626" width="6.85546875" style="111" customWidth="1"/>
    <col min="15627" max="15627" width="10.42578125" style="111" customWidth="1"/>
    <col min="15628" max="15628" width="10" style="111" customWidth="1"/>
    <col min="15629" max="15629" width="6.7109375" style="111" bestFit="1" customWidth="1"/>
    <col min="15630" max="15630" width="9.140625" style="111" customWidth="1"/>
    <col min="15631" max="15870" width="9.140625" style="111"/>
    <col min="15871" max="15871" width="82" style="111" customWidth="1"/>
    <col min="15872" max="15872" width="10.7109375" style="111" customWidth="1"/>
    <col min="15873" max="15873" width="8.5703125" style="111" customWidth="1"/>
    <col min="15874" max="15874" width="10.85546875" style="111" customWidth="1"/>
    <col min="15875" max="15875" width="8.85546875" style="111" customWidth="1"/>
    <col min="15876" max="15876" width="13.85546875" style="111" customWidth="1"/>
    <col min="15877" max="15877" width="11" style="111" customWidth="1"/>
    <col min="15878" max="15879" width="12.28515625" style="111" customWidth="1"/>
    <col min="15880" max="15880" width="6.42578125" style="111" customWidth="1"/>
    <col min="15881" max="15881" width="9.140625" style="111" customWidth="1"/>
    <col min="15882" max="15882" width="6.85546875" style="111" customWidth="1"/>
    <col min="15883" max="15883" width="10.42578125" style="111" customWidth="1"/>
    <col min="15884" max="15884" width="10" style="111" customWidth="1"/>
    <col min="15885" max="15885" width="6.7109375" style="111" bestFit="1" customWidth="1"/>
    <col min="15886" max="15886" width="9.140625" style="111" customWidth="1"/>
    <col min="15887" max="16126" width="9.140625" style="111"/>
    <col min="16127" max="16127" width="82" style="111" customWidth="1"/>
    <col min="16128" max="16128" width="10.7109375" style="111" customWidth="1"/>
    <col min="16129" max="16129" width="8.5703125" style="111" customWidth="1"/>
    <col min="16130" max="16130" width="10.85546875" style="111" customWidth="1"/>
    <col min="16131" max="16131" width="8.85546875" style="111" customWidth="1"/>
    <col min="16132" max="16132" width="13.85546875" style="111" customWidth="1"/>
    <col min="16133" max="16133" width="11" style="111" customWidth="1"/>
    <col min="16134" max="16135" width="12.28515625" style="111" customWidth="1"/>
    <col min="16136" max="16136" width="6.42578125" style="111" customWidth="1"/>
    <col min="16137" max="16137" width="9.140625" style="111" customWidth="1"/>
    <col min="16138" max="16138" width="6.85546875" style="111" customWidth="1"/>
    <col min="16139" max="16139" width="10.42578125" style="111" customWidth="1"/>
    <col min="16140" max="16140" width="10" style="111" customWidth="1"/>
    <col min="16141" max="16141" width="6.7109375" style="111" bestFit="1" customWidth="1"/>
    <col min="16142" max="16142" width="9.140625" style="111" customWidth="1"/>
    <col min="16143" max="16384" width="9.140625" style="111"/>
  </cols>
  <sheetData>
    <row r="1" spans="1:15" s="90" customFormat="1">
      <c r="B1" s="87" t="s">
        <v>18</v>
      </c>
      <c r="C1" s="89"/>
    </row>
    <row r="2" spans="1:15" s="90" customFormat="1">
      <c r="B2" s="87" t="s">
        <v>19</v>
      </c>
      <c r="C2" s="89"/>
    </row>
    <row r="3" spans="1:15" s="90" customFormat="1">
      <c r="B3" s="87"/>
      <c r="C3" s="89"/>
    </row>
    <row r="4" spans="1:15" s="90" customFormat="1">
      <c r="B4" s="1089" t="s">
        <v>356</v>
      </c>
      <c r="C4" s="1077"/>
      <c r="D4" s="1077"/>
      <c r="E4" s="1077"/>
      <c r="F4" s="1077"/>
      <c r="G4" s="1077"/>
      <c r="H4" s="1077"/>
      <c r="I4" s="1077"/>
      <c r="J4" s="1077"/>
      <c r="K4" s="1077"/>
      <c r="L4" s="1077"/>
      <c r="M4" s="1077"/>
      <c r="N4" s="1077"/>
      <c r="O4" s="1077"/>
    </row>
    <row r="5" spans="1:15" s="143" customFormat="1" ht="12" customHeight="1">
      <c r="A5" s="1090" t="s">
        <v>322</v>
      </c>
      <c r="B5" s="1091"/>
      <c r="C5" s="1082">
        <v>2016</v>
      </c>
      <c r="D5" s="1082"/>
      <c r="E5" s="1082"/>
      <c r="F5" s="1082"/>
      <c r="G5" s="1082"/>
      <c r="H5" s="1082"/>
      <c r="I5" s="1082"/>
      <c r="J5" s="1082"/>
      <c r="K5" s="1082"/>
      <c r="L5" s="1082"/>
      <c r="M5" s="1082"/>
      <c r="N5" s="1082"/>
      <c r="O5" s="1082"/>
    </row>
    <row r="6" spans="1:15" s="143" customFormat="1" ht="27" customHeight="1">
      <c r="A6" s="1092"/>
      <c r="B6" s="1093"/>
      <c r="C6" s="142" t="s">
        <v>26</v>
      </c>
      <c r="D6" s="142" t="s">
        <v>27</v>
      </c>
      <c r="E6" s="142" t="s">
        <v>28</v>
      </c>
      <c r="F6" s="142" t="s">
        <v>29</v>
      </c>
      <c r="G6" s="142" t="s">
        <v>30</v>
      </c>
      <c r="H6" s="142" t="s">
        <v>31</v>
      </c>
      <c r="I6" s="142" t="s">
        <v>32</v>
      </c>
      <c r="J6" s="142" t="s">
        <v>33</v>
      </c>
      <c r="K6" s="142" t="s">
        <v>34</v>
      </c>
      <c r="L6" s="142" t="s">
        <v>35</v>
      </c>
      <c r="M6" s="142" t="s">
        <v>36</v>
      </c>
      <c r="N6" s="142" t="s">
        <v>37</v>
      </c>
      <c r="O6" s="142" t="s">
        <v>74</v>
      </c>
    </row>
    <row r="7" spans="1:15" s="90" customFormat="1" ht="23.25" customHeight="1">
      <c r="A7" s="1094" t="s">
        <v>111</v>
      </c>
      <c r="B7" s="1095"/>
      <c r="C7" s="92"/>
      <c r="D7" s="92"/>
      <c r="E7" s="92"/>
      <c r="F7" s="92"/>
      <c r="G7" s="92"/>
      <c r="H7" s="92"/>
      <c r="I7" s="92"/>
      <c r="J7" s="92"/>
      <c r="K7" s="92"/>
      <c r="L7" s="92"/>
      <c r="M7" s="92"/>
      <c r="N7" s="92"/>
      <c r="O7" s="92"/>
    </row>
    <row r="8" spans="1:15" s="143" customFormat="1" ht="18" customHeight="1">
      <c r="A8" s="1087" t="s">
        <v>112</v>
      </c>
      <c r="B8" s="160" t="s">
        <v>114</v>
      </c>
      <c r="C8" s="641">
        <v>11</v>
      </c>
      <c r="D8" s="641">
        <v>7</v>
      </c>
      <c r="E8" s="641">
        <v>25</v>
      </c>
      <c r="F8" s="641">
        <v>25</v>
      </c>
      <c r="G8" s="641">
        <v>22</v>
      </c>
      <c r="H8" s="641">
        <v>23</v>
      </c>
      <c r="I8" s="641"/>
      <c r="J8" s="641"/>
      <c r="K8" s="641"/>
      <c r="L8" s="641"/>
      <c r="M8" s="641"/>
      <c r="N8" s="642"/>
      <c r="O8" s="987">
        <f>SUM(C8:N8)</f>
        <v>113</v>
      </c>
    </row>
    <row r="9" spans="1:15" s="143" customFormat="1" ht="18" customHeight="1">
      <c r="A9" s="1088"/>
      <c r="B9" s="160" t="s">
        <v>119</v>
      </c>
      <c r="C9" s="61">
        <v>4</v>
      </c>
      <c r="D9" s="61">
        <v>5</v>
      </c>
      <c r="E9" s="61">
        <v>10</v>
      </c>
      <c r="F9" s="314">
        <v>16</v>
      </c>
      <c r="G9" s="314">
        <v>10</v>
      </c>
      <c r="H9" s="314">
        <v>25</v>
      </c>
      <c r="I9" s="315"/>
      <c r="J9" s="314"/>
      <c r="K9" s="316"/>
      <c r="L9" s="314"/>
      <c r="M9" s="314"/>
      <c r="N9" s="316"/>
      <c r="O9" s="987">
        <f t="shared" ref="O9:O17" si="0">SUM(C9:N9)</f>
        <v>70</v>
      </c>
    </row>
    <row r="10" spans="1:15" s="143" customFormat="1" ht="18" customHeight="1">
      <c r="A10" s="1087" t="s">
        <v>113</v>
      </c>
      <c r="B10" s="160" t="s">
        <v>115</v>
      </c>
      <c r="C10" s="641">
        <v>5</v>
      </c>
      <c r="D10" s="641">
        <v>2</v>
      </c>
      <c r="E10" s="641">
        <v>2</v>
      </c>
      <c r="F10" s="641">
        <v>5</v>
      </c>
      <c r="G10" s="641">
        <v>10</v>
      </c>
      <c r="H10" s="641">
        <v>7</v>
      </c>
      <c r="I10" s="304"/>
      <c r="J10" s="304"/>
      <c r="K10" s="304"/>
      <c r="L10" s="304"/>
      <c r="M10" s="304"/>
      <c r="N10" s="643"/>
      <c r="O10" s="987">
        <f t="shared" si="0"/>
        <v>31</v>
      </c>
    </row>
    <row r="11" spans="1:15" s="143" customFormat="1" ht="18" customHeight="1">
      <c r="A11" s="1088"/>
      <c r="B11" s="160" t="s">
        <v>120</v>
      </c>
      <c r="C11" s="641">
        <v>13</v>
      </c>
      <c r="D11" s="641">
        <v>19</v>
      </c>
      <c r="E11" s="641">
        <v>20</v>
      </c>
      <c r="F11" s="641">
        <v>13</v>
      </c>
      <c r="G11" s="641">
        <v>22</v>
      </c>
      <c r="H11" s="641">
        <v>26</v>
      </c>
      <c r="I11" s="304"/>
      <c r="J11" s="304"/>
      <c r="K11" s="304"/>
      <c r="L11" s="304"/>
      <c r="M11" s="304"/>
      <c r="N11" s="643"/>
      <c r="O11" s="987">
        <f t="shared" si="0"/>
        <v>113</v>
      </c>
    </row>
    <row r="12" spans="1:15" s="143" customFormat="1" ht="18" customHeight="1">
      <c r="A12" s="1087" t="s">
        <v>39</v>
      </c>
      <c r="B12" s="160" t="s">
        <v>116</v>
      </c>
      <c r="C12" s="985">
        <v>177</v>
      </c>
      <c r="D12" s="985">
        <v>190</v>
      </c>
      <c r="E12" s="985">
        <v>198</v>
      </c>
      <c r="F12" s="985">
        <v>276</v>
      </c>
      <c r="G12" s="985">
        <v>312</v>
      </c>
      <c r="H12" s="985">
        <v>289</v>
      </c>
      <c r="I12" s="304"/>
      <c r="J12" s="304"/>
      <c r="K12" s="304"/>
      <c r="L12" s="304"/>
      <c r="M12" s="304"/>
      <c r="N12" s="643"/>
      <c r="O12" s="987">
        <f t="shared" si="0"/>
        <v>1442</v>
      </c>
    </row>
    <row r="13" spans="1:15" s="143" customFormat="1" ht="20.25" customHeight="1">
      <c r="A13" s="1088"/>
      <c r="B13" s="160" t="s">
        <v>121</v>
      </c>
      <c r="C13" s="985">
        <v>1210</v>
      </c>
      <c r="D13" s="985">
        <v>1267</v>
      </c>
      <c r="E13" s="985">
        <v>1314</v>
      </c>
      <c r="F13" s="985">
        <v>1860</v>
      </c>
      <c r="G13" s="985">
        <v>1806</v>
      </c>
      <c r="H13" s="985">
        <v>1661</v>
      </c>
      <c r="I13" s="304"/>
      <c r="J13" s="304"/>
      <c r="K13" s="304"/>
      <c r="L13" s="304"/>
      <c r="M13" s="304"/>
      <c r="N13" s="643"/>
      <c r="O13" s="987">
        <f t="shared" si="0"/>
        <v>9118</v>
      </c>
    </row>
    <row r="14" spans="1:15" s="143" customFormat="1" ht="17.25" customHeight="1">
      <c r="A14" s="1087" t="s">
        <v>40</v>
      </c>
      <c r="B14" s="160" t="s">
        <v>117</v>
      </c>
      <c r="C14" s="985">
        <v>11</v>
      </c>
      <c r="D14" s="985">
        <v>23</v>
      </c>
      <c r="E14" s="985">
        <v>18</v>
      </c>
      <c r="F14" s="985">
        <v>24</v>
      </c>
      <c r="G14" s="985">
        <v>19</v>
      </c>
      <c r="H14" s="985">
        <v>27</v>
      </c>
      <c r="I14" s="304"/>
      <c r="J14" s="304"/>
      <c r="K14" s="304"/>
      <c r="L14" s="304"/>
      <c r="M14" s="304"/>
      <c r="N14" s="643"/>
      <c r="O14" s="987">
        <f t="shared" si="0"/>
        <v>122</v>
      </c>
    </row>
    <row r="15" spans="1:15" s="143" customFormat="1" ht="17.25" customHeight="1">
      <c r="A15" s="1088"/>
      <c r="B15" s="160" t="s">
        <v>122</v>
      </c>
      <c r="C15" s="985">
        <v>108</v>
      </c>
      <c r="D15" s="985">
        <v>128</v>
      </c>
      <c r="E15" s="985">
        <v>166</v>
      </c>
      <c r="F15" s="985">
        <v>165</v>
      </c>
      <c r="G15" s="985">
        <v>145</v>
      </c>
      <c r="H15" s="985">
        <v>168</v>
      </c>
      <c r="I15" s="304"/>
      <c r="J15" s="304"/>
      <c r="K15" s="304"/>
      <c r="L15" s="304"/>
      <c r="M15" s="304"/>
      <c r="N15" s="643"/>
      <c r="O15" s="987">
        <f t="shared" si="0"/>
        <v>880</v>
      </c>
    </row>
    <row r="16" spans="1:15" s="93" customFormat="1" ht="21" customHeight="1">
      <c r="A16" s="1078" t="s">
        <v>321</v>
      </c>
      <c r="B16" s="147" t="s">
        <v>118</v>
      </c>
      <c r="C16" s="986">
        <f t="shared" ref="C16:H17" si="1">C8+C10+C12+C14</f>
        <v>204</v>
      </c>
      <c r="D16" s="986">
        <f t="shared" si="1"/>
        <v>222</v>
      </c>
      <c r="E16" s="986">
        <f t="shared" si="1"/>
        <v>243</v>
      </c>
      <c r="F16" s="986">
        <f t="shared" si="1"/>
        <v>330</v>
      </c>
      <c r="G16" s="986">
        <f t="shared" si="1"/>
        <v>363</v>
      </c>
      <c r="H16" s="986">
        <f t="shared" si="1"/>
        <v>346</v>
      </c>
      <c r="I16" s="644"/>
      <c r="J16" s="644"/>
      <c r="K16" s="644"/>
      <c r="L16" s="644"/>
      <c r="M16" s="644"/>
      <c r="N16" s="645"/>
      <c r="O16" s="987">
        <f t="shared" si="0"/>
        <v>1708</v>
      </c>
    </row>
    <row r="17" spans="1:16" s="93" customFormat="1" ht="19.5" customHeight="1">
      <c r="A17" s="1079"/>
      <c r="B17" s="147" t="s">
        <v>123</v>
      </c>
      <c r="C17" s="986">
        <f t="shared" si="1"/>
        <v>1335</v>
      </c>
      <c r="D17" s="986">
        <f t="shared" si="1"/>
        <v>1419</v>
      </c>
      <c r="E17" s="986">
        <f t="shared" si="1"/>
        <v>1510</v>
      </c>
      <c r="F17" s="986">
        <f t="shared" si="1"/>
        <v>2054</v>
      </c>
      <c r="G17" s="986">
        <f t="shared" si="1"/>
        <v>1983</v>
      </c>
      <c r="H17" s="986">
        <f t="shared" si="1"/>
        <v>1880</v>
      </c>
      <c r="I17" s="644"/>
      <c r="J17" s="644"/>
      <c r="K17" s="644"/>
      <c r="L17" s="644"/>
      <c r="M17" s="644"/>
      <c r="N17" s="645"/>
      <c r="O17" s="987">
        <f t="shared" si="0"/>
        <v>10181</v>
      </c>
    </row>
    <row r="18" spans="1:16" s="93" customFormat="1" ht="19.5" customHeight="1">
      <c r="A18" s="1094" t="s">
        <v>124</v>
      </c>
      <c r="B18" s="1095"/>
      <c r="C18" s="646"/>
      <c r="D18" s="646"/>
      <c r="E18" s="646"/>
      <c r="F18" s="646"/>
      <c r="G18" s="646"/>
      <c r="H18" s="646"/>
      <c r="I18" s="646"/>
      <c r="J18" s="646"/>
      <c r="K18" s="646"/>
      <c r="L18" s="646"/>
      <c r="M18" s="646"/>
      <c r="N18" s="646"/>
      <c r="O18" s="640"/>
    </row>
    <row r="19" spans="1:16" s="94" customFormat="1" ht="19.5" customHeight="1">
      <c r="A19" s="1087" t="s">
        <v>112</v>
      </c>
      <c r="B19" s="160" t="s">
        <v>125</v>
      </c>
      <c r="C19" s="641">
        <v>0</v>
      </c>
      <c r="D19" s="641">
        <v>0</v>
      </c>
      <c r="E19" s="641">
        <v>2</v>
      </c>
      <c r="F19" s="641">
        <v>1</v>
      </c>
      <c r="G19" s="641">
        <v>0</v>
      </c>
      <c r="H19" s="641">
        <v>0</v>
      </c>
      <c r="I19" s="641"/>
      <c r="J19" s="641"/>
      <c r="K19" s="641"/>
      <c r="L19" s="641"/>
      <c r="M19" s="641"/>
      <c r="N19" s="642"/>
      <c r="O19" s="639">
        <f>SUM(C19:N19)</f>
        <v>3</v>
      </c>
    </row>
    <row r="20" spans="1:16" s="94" customFormat="1" ht="19.5" customHeight="1">
      <c r="A20" s="1088"/>
      <c r="B20" s="160" t="s">
        <v>126</v>
      </c>
      <c r="C20" s="641">
        <v>1</v>
      </c>
      <c r="D20" s="641">
        <v>4</v>
      </c>
      <c r="E20" s="641">
        <v>8</v>
      </c>
      <c r="F20" s="641">
        <v>13</v>
      </c>
      <c r="G20" s="641">
        <v>6</v>
      </c>
      <c r="H20" s="641">
        <v>21</v>
      </c>
      <c r="I20" s="304"/>
      <c r="J20" s="304"/>
      <c r="K20" s="304"/>
      <c r="L20" s="304"/>
      <c r="M20" s="304"/>
      <c r="N20" s="643"/>
      <c r="O20" s="639">
        <f t="shared" ref="O20:O28" si="2">SUM(C20:N20)</f>
        <v>53</v>
      </c>
    </row>
    <row r="21" spans="1:16" s="94" customFormat="1" ht="19.5" customHeight="1">
      <c r="A21" s="1087" t="s">
        <v>113</v>
      </c>
      <c r="B21" s="160" t="s">
        <v>128</v>
      </c>
      <c r="C21" s="999">
        <v>0</v>
      </c>
      <c r="D21" s="999">
        <v>0</v>
      </c>
      <c r="E21" s="999">
        <v>0</v>
      </c>
      <c r="F21" s="999">
        <v>0</v>
      </c>
      <c r="G21" s="999">
        <v>0</v>
      </c>
      <c r="H21" s="999">
        <v>0</v>
      </c>
      <c r="I21" s="644"/>
      <c r="J21" s="644"/>
      <c r="K21" s="644"/>
      <c r="L21" s="644"/>
      <c r="M21" s="644"/>
      <c r="N21" s="645"/>
      <c r="O21" s="639">
        <f t="shared" si="2"/>
        <v>0</v>
      </c>
    </row>
    <row r="22" spans="1:16" s="159" customFormat="1" ht="18" customHeight="1">
      <c r="A22" s="1088"/>
      <c r="B22" s="160" t="s">
        <v>127</v>
      </c>
      <c r="C22" s="314">
        <v>0</v>
      </c>
      <c r="D22" s="314">
        <v>2</v>
      </c>
      <c r="E22" s="314">
        <v>0</v>
      </c>
      <c r="F22" s="314">
        <v>2</v>
      </c>
      <c r="G22" s="314">
        <v>0</v>
      </c>
      <c r="H22" s="314">
        <v>0</v>
      </c>
      <c r="I22" s="308"/>
      <c r="J22" s="308"/>
      <c r="K22" s="308"/>
      <c r="L22" s="308"/>
      <c r="M22" s="308"/>
      <c r="N22" s="645"/>
      <c r="O22" s="639">
        <f t="shared" si="2"/>
        <v>4</v>
      </c>
      <c r="P22" s="158"/>
    </row>
    <row r="23" spans="1:16" s="157" customFormat="1" ht="18.75" customHeight="1">
      <c r="A23" s="1087" t="s">
        <v>39</v>
      </c>
      <c r="B23" s="160" t="s">
        <v>129</v>
      </c>
      <c r="C23" s="988">
        <v>7</v>
      </c>
      <c r="D23" s="988">
        <v>15</v>
      </c>
      <c r="E23" s="988">
        <v>17</v>
      </c>
      <c r="F23" s="988">
        <v>31</v>
      </c>
      <c r="G23" s="988">
        <v>25</v>
      </c>
      <c r="H23" s="988">
        <v>28</v>
      </c>
      <c r="I23" s="155"/>
      <c r="J23" s="155"/>
      <c r="K23" s="153"/>
      <c r="L23" s="153"/>
      <c r="M23" s="153"/>
      <c r="N23" s="156"/>
      <c r="O23" s="639">
        <f t="shared" si="2"/>
        <v>123</v>
      </c>
    </row>
    <row r="24" spans="1:16" s="157" customFormat="1" ht="18.75" customHeight="1">
      <c r="A24" s="1088"/>
      <c r="B24" s="160" t="s">
        <v>131</v>
      </c>
      <c r="C24" s="988">
        <v>950</v>
      </c>
      <c r="D24" s="988">
        <v>1007</v>
      </c>
      <c r="E24" s="988">
        <v>1051</v>
      </c>
      <c r="F24" s="988">
        <v>1457</v>
      </c>
      <c r="G24" s="988">
        <v>1400</v>
      </c>
      <c r="H24" s="988">
        <v>1205</v>
      </c>
      <c r="I24" s="155"/>
      <c r="J24" s="155"/>
      <c r="K24" s="153"/>
      <c r="L24" s="153"/>
      <c r="M24" s="153"/>
      <c r="N24" s="156"/>
      <c r="O24" s="639">
        <f t="shared" si="2"/>
        <v>7070</v>
      </c>
    </row>
    <row r="25" spans="1:16" s="94" customFormat="1" ht="18.75" customHeight="1">
      <c r="A25" s="1087" t="s">
        <v>40</v>
      </c>
      <c r="B25" s="160" t="s">
        <v>130</v>
      </c>
      <c r="C25" s="986">
        <v>0</v>
      </c>
      <c r="D25" s="986">
        <v>1</v>
      </c>
      <c r="E25" s="986">
        <v>1</v>
      </c>
      <c r="F25" s="986">
        <v>2</v>
      </c>
      <c r="G25" s="986">
        <v>2</v>
      </c>
      <c r="H25" s="986">
        <v>1</v>
      </c>
      <c r="I25" s="148"/>
      <c r="J25" s="148"/>
      <c r="K25" s="151"/>
      <c r="L25" s="151"/>
      <c r="M25" s="151"/>
      <c r="N25" s="149"/>
      <c r="O25" s="639">
        <f t="shared" si="2"/>
        <v>7</v>
      </c>
    </row>
    <row r="26" spans="1:16" s="94" customFormat="1" ht="18.75" customHeight="1">
      <c r="A26" s="1088"/>
      <c r="B26" s="160" t="s">
        <v>132</v>
      </c>
      <c r="C26" s="986">
        <v>84</v>
      </c>
      <c r="D26" s="986">
        <v>107</v>
      </c>
      <c r="E26" s="986">
        <v>141</v>
      </c>
      <c r="F26" s="986">
        <v>132</v>
      </c>
      <c r="G26" s="986">
        <v>109</v>
      </c>
      <c r="H26" s="986">
        <v>127</v>
      </c>
      <c r="I26" s="148"/>
      <c r="J26" s="148"/>
      <c r="K26" s="151"/>
      <c r="L26" s="151"/>
      <c r="M26" s="151"/>
      <c r="N26" s="149"/>
      <c r="O26" s="639">
        <f t="shared" si="2"/>
        <v>700</v>
      </c>
    </row>
    <row r="27" spans="1:16" s="99" customFormat="1" ht="25.5" customHeight="1">
      <c r="A27" s="1078" t="s">
        <v>321</v>
      </c>
      <c r="B27" s="147" t="s">
        <v>133</v>
      </c>
      <c r="C27" s="647">
        <f t="shared" ref="C27:H28" si="3">C19+C21+C23+C25</f>
        <v>7</v>
      </c>
      <c r="D27" s="647">
        <f t="shared" si="3"/>
        <v>16</v>
      </c>
      <c r="E27" s="647">
        <f t="shared" si="3"/>
        <v>20</v>
      </c>
      <c r="F27" s="647">
        <f t="shared" si="3"/>
        <v>34</v>
      </c>
      <c r="G27" s="647">
        <f t="shared" si="3"/>
        <v>27</v>
      </c>
      <c r="H27" s="647">
        <f t="shared" si="3"/>
        <v>29</v>
      </c>
      <c r="I27" s="223"/>
      <c r="J27" s="223"/>
      <c r="K27" s="223"/>
      <c r="L27" s="223"/>
      <c r="M27" s="223"/>
      <c r="N27" s="223"/>
      <c r="O27" s="639">
        <f t="shared" si="2"/>
        <v>133</v>
      </c>
      <c r="P27" s="94"/>
    </row>
    <row r="28" spans="1:16" s="99" customFormat="1" ht="25.5" customHeight="1">
      <c r="A28" s="1096"/>
      <c r="B28" s="147" t="s">
        <v>134</v>
      </c>
      <c r="C28" s="647">
        <f t="shared" si="3"/>
        <v>1035</v>
      </c>
      <c r="D28" s="647">
        <f t="shared" si="3"/>
        <v>1120</v>
      </c>
      <c r="E28" s="647">
        <f t="shared" si="3"/>
        <v>1200</v>
      </c>
      <c r="F28" s="647">
        <f t="shared" si="3"/>
        <v>1604</v>
      </c>
      <c r="G28" s="647">
        <f t="shared" si="3"/>
        <v>1515</v>
      </c>
      <c r="H28" s="647">
        <f t="shared" si="3"/>
        <v>1353</v>
      </c>
      <c r="I28" s="223"/>
      <c r="J28" s="223"/>
      <c r="K28" s="223"/>
      <c r="L28" s="223"/>
      <c r="M28" s="223"/>
      <c r="N28" s="223"/>
      <c r="O28" s="639">
        <f t="shared" si="2"/>
        <v>7827</v>
      </c>
      <c r="P28" s="94"/>
    </row>
    <row r="29" spans="1:16" s="102" customFormat="1" ht="27.75" customHeight="1">
      <c r="A29" s="1079"/>
      <c r="B29" s="224" t="s">
        <v>320</v>
      </c>
      <c r="C29" s="989">
        <f t="shared" ref="C29:H29" si="4">(C27+C28)/(C16+C17)</f>
        <v>0.67706302794022089</v>
      </c>
      <c r="D29" s="989">
        <f t="shared" si="4"/>
        <v>0.69226081657525895</v>
      </c>
      <c r="E29" s="989">
        <f t="shared" si="4"/>
        <v>0.69594980034227039</v>
      </c>
      <c r="F29" s="989">
        <f t="shared" si="4"/>
        <v>0.68708053691275173</v>
      </c>
      <c r="G29" s="989">
        <f t="shared" si="4"/>
        <v>0.65728900255754474</v>
      </c>
      <c r="H29" s="989">
        <f t="shared" si="4"/>
        <v>0.62084456424079071</v>
      </c>
      <c r="I29" s="225"/>
      <c r="J29" s="225"/>
      <c r="K29" s="225"/>
      <c r="L29" s="225"/>
      <c r="M29" s="225"/>
      <c r="N29" s="225"/>
      <c r="O29" s="989">
        <f>(O28+O27)/(O16+O17)</f>
        <v>0.66952645302380354</v>
      </c>
      <c r="P29" s="94"/>
    </row>
    <row r="30" spans="1:16" s="102" customFormat="1">
      <c r="B30" s="132"/>
      <c r="C30" s="104"/>
      <c r="D30" s="105"/>
      <c r="E30" s="105"/>
      <c r="F30" s="105"/>
      <c r="G30" s="105"/>
      <c r="H30" s="105"/>
      <c r="I30" s="105"/>
      <c r="J30" s="105"/>
      <c r="K30" s="105"/>
      <c r="L30" s="105"/>
      <c r="M30" s="105"/>
      <c r="N30" s="105"/>
      <c r="O30" s="105"/>
    </row>
    <row r="31" spans="1:16" s="102" customFormat="1">
      <c r="A31" s="286"/>
      <c r="B31" s="1056"/>
      <c r="C31" s="1057"/>
      <c r="D31" s="1057"/>
      <c r="E31" s="1057"/>
      <c r="F31" s="1057"/>
      <c r="G31" s="1057"/>
      <c r="H31" s="1057"/>
      <c r="I31" s="1057"/>
      <c r="J31" s="1057"/>
      <c r="K31" s="1057"/>
      <c r="L31" s="1057"/>
      <c r="M31" s="1057"/>
      <c r="N31" s="1057"/>
      <c r="O31" s="1057"/>
    </row>
    <row r="32" spans="1:16" s="102" customFormat="1">
      <c r="B32" s="107"/>
      <c r="C32" s="104"/>
      <c r="D32" s="105"/>
      <c r="E32" s="105"/>
      <c r="F32" s="105"/>
      <c r="G32" s="105"/>
      <c r="H32" s="105"/>
      <c r="I32" s="105"/>
      <c r="J32" s="108"/>
      <c r="K32" s="108"/>
      <c r="L32" s="105"/>
      <c r="M32" s="105"/>
      <c r="N32" s="105"/>
      <c r="O32" s="105"/>
    </row>
    <row r="33" spans="2:15">
      <c r="B33" s="107"/>
      <c r="C33" s="110"/>
      <c r="D33" s="110"/>
      <c r="E33" s="110"/>
      <c r="F33" s="110"/>
      <c r="G33" s="110"/>
      <c r="H33" s="110"/>
      <c r="I33" s="110"/>
      <c r="J33" s="110"/>
      <c r="K33" s="110"/>
      <c r="L33" s="110"/>
      <c r="M33" s="110"/>
      <c r="N33" s="110"/>
      <c r="O33" s="110"/>
    </row>
    <row r="34" spans="2:15">
      <c r="B34" s="112"/>
      <c r="C34" s="104"/>
      <c r="D34" s="105"/>
      <c r="E34" s="105"/>
      <c r="F34" s="105"/>
      <c r="G34" s="105"/>
      <c r="H34" s="108"/>
      <c r="I34" s="108"/>
      <c r="J34" s="108"/>
      <c r="K34" s="108"/>
      <c r="L34" s="105"/>
      <c r="M34" s="105"/>
      <c r="N34" s="105"/>
      <c r="O34" s="105"/>
    </row>
  </sheetData>
  <mergeCells count="16">
    <mergeCell ref="A19:A20"/>
    <mergeCell ref="A23:A24"/>
    <mergeCell ref="A25:A26"/>
    <mergeCell ref="B31:O31"/>
    <mergeCell ref="B4:O4"/>
    <mergeCell ref="C5:O5"/>
    <mergeCell ref="A5:B6"/>
    <mergeCell ref="A7:B7"/>
    <mergeCell ref="A8:A9"/>
    <mergeCell ref="A12:A13"/>
    <mergeCell ref="A14:A15"/>
    <mergeCell ref="A16:A17"/>
    <mergeCell ref="A10:A11"/>
    <mergeCell ref="A21:A22"/>
    <mergeCell ref="A18:B18"/>
    <mergeCell ref="A27:A29"/>
  </mergeCells>
  <pageMargins left="0.70866141732283472" right="0.70866141732283472" top="0.74803149606299213" bottom="0.74803149606299213" header="0.31496062992125984" footer="0.31496062992125984"/>
  <pageSetup paperSize="9" scale="74" fitToHeight="0"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86"/>
  <sheetViews>
    <sheetView showWhiteSpace="0" view="pageBreakPreview" zoomScaleNormal="100" zoomScaleSheetLayoutView="100" zoomScalePageLayoutView="30" workbookViewId="0">
      <selection activeCell="A3" sqref="A3:Q3"/>
    </sheetView>
  </sheetViews>
  <sheetFormatPr defaultColWidth="9.140625" defaultRowHeight="36" customHeight="1"/>
  <cols>
    <col min="1" max="1" width="67" style="118" customWidth="1"/>
    <col min="2" max="3" width="7.7109375" style="118" customWidth="1"/>
    <col min="4" max="4" width="7.5703125" style="119" customWidth="1"/>
    <col min="5" max="5" width="10.5703125" style="120" customWidth="1"/>
    <col min="6" max="6" width="8.7109375" style="121" bestFit="1" customWidth="1"/>
    <col min="7" max="7" width="10" style="122" customWidth="1"/>
    <col min="8" max="8" width="9" style="122" customWidth="1"/>
    <col min="9" max="10" width="7.7109375" style="122" customWidth="1"/>
    <col min="11" max="11" width="8" style="122" customWidth="1"/>
    <col min="12" max="12" width="8.85546875" style="122" customWidth="1"/>
    <col min="13" max="13" width="8.140625" style="122" customWidth="1"/>
    <col min="14" max="14" width="11" style="122" customWidth="1"/>
    <col min="15" max="15" width="7.7109375" style="122" customWidth="1"/>
    <col min="16" max="16" width="8.42578125" style="122" bestFit="1" customWidth="1"/>
    <col min="17" max="17" width="10" style="122" customWidth="1"/>
    <col min="18" max="19" width="9.140625" style="102"/>
    <col min="20" max="20" width="11.42578125" style="102" bestFit="1" customWidth="1"/>
    <col min="21" max="16384" width="9.140625" style="102"/>
  </cols>
  <sheetData>
    <row r="1" spans="1:17" s="115" customFormat="1" ht="12">
      <c r="A1" s="76" t="s">
        <v>18</v>
      </c>
      <c r="B1" s="76"/>
      <c r="C1" s="76"/>
      <c r="D1" s="77"/>
      <c r="E1" s="78"/>
      <c r="F1" s="79"/>
      <c r="G1" s="80"/>
      <c r="H1" s="80"/>
      <c r="I1" s="80"/>
      <c r="J1" s="80"/>
      <c r="K1" s="80"/>
      <c r="L1" s="80"/>
      <c r="M1" s="80"/>
      <c r="N1" s="80"/>
      <c r="O1" s="80"/>
      <c r="P1" s="80"/>
      <c r="Q1" s="80"/>
    </row>
    <row r="2" spans="1:17" s="115" customFormat="1" ht="12">
      <c r="A2" s="76" t="s">
        <v>19</v>
      </c>
      <c r="B2" s="76"/>
      <c r="C2" s="76"/>
      <c r="D2" s="77"/>
      <c r="E2" s="78"/>
      <c r="F2" s="79"/>
      <c r="G2" s="80"/>
      <c r="H2" s="80"/>
      <c r="I2" s="80"/>
      <c r="J2" s="80"/>
      <c r="K2" s="80"/>
      <c r="L2" s="80"/>
      <c r="M2" s="80"/>
      <c r="N2" s="80"/>
      <c r="O2" s="80"/>
      <c r="P2" s="80"/>
      <c r="Q2" s="80"/>
    </row>
    <row r="3" spans="1:17" s="115" customFormat="1" ht="12">
      <c r="A3" s="1125" t="s">
        <v>357</v>
      </c>
      <c r="B3" s="1125"/>
      <c r="C3" s="1125"/>
      <c r="D3" s="1125"/>
      <c r="E3" s="1125"/>
      <c r="F3" s="1125"/>
      <c r="G3" s="1125"/>
      <c r="H3" s="1125"/>
      <c r="I3" s="1125"/>
      <c r="J3" s="1125"/>
      <c r="K3" s="1125"/>
      <c r="L3" s="1125"/>
      <c r="M3" s="1125"/>
      <c r="N3" s="1125"/>
      <c r="O3" s="1125"/>
      <c r="P3" s="1125"/>
      <c r="Q3" s="1125"/>
    </row>
    <row r="4" spans="1:17" s="115" customFormat="1" ht="12.75" customHeight="1">
      <c r="A4" s="1126" t="s">
        <v>323</v>
      </c>
      <c r="B4" s="1127" t="s">
        <v>324</v>
      </c>
      <c r="C4" s="1108" t="s">
        <v>24</v>
      </c>
      <c r="D4" s="1108" t="s">
        <v>25</v>
      </c>
      <c r="E4" s="1109">
        <v>2016</v>
      </c>
      <c r="F4" s="1110"/>
      <c r="G4" s="1110"/>
      <c r="H4" s="1110"/>
      <c r="I4" s="1110"/>
      <c r="J4" s="1110"/>
      <c r="K4" s="1110"/>
      <c r="L4" s="1110"/>
      <c r="M4" s="1110"/>
      <c r="N4" s="1110"/>
      <c r="O4" s="1110"/>
      <c r="P4" s="1110"/>
      <c r="Q4" s="1111"/>
    </row>
    <row r="5" spans="1:17" s="115" customFormat="1" ht="25.5" customHeight="1">
      <c r="A5" s="1092"/>
      <c r="B5" s="1127"/>
      <c r="C5" s="1086"/>
      <c r="D5" s="1086"/>
      <c r="E5" s="858" t="s">
        <v>26</v>
      </c>
      <c r="F5" s="858" t="s">
        <v>27</v>
      </c>
      <c r="G5" s="858" t="s">
        <v>28</v>
      </c>
      <c r="H5" s="858" t="s">
        <v>29</v>
      </c>
      <c r="I5" s="858" t="s">
        <v>30</v>
      </c>
      <c r="J5" s="858" t="s">
        <v>31</v>
      </c>
      <c r="K5" s="858" t="s">
        <v>32</v>
      </c>
      <c r="L5" s="858" t="s">
        <v>33</v>
      </c>
      <c r="M5" s="858" t="s">
        <v>34</v>
      </c>
      <c r="N5" s="858" t="s">
        <v>35</v>
      </c>
      <c r="O5" s="858" t="s">
        <v>36</v>
      </c>
      <c r="P5" s="858" t="s">
        <v>37</v>
      </c>
      <c r="Q5" s="858" t="s">
        <v>38</v>
      </c>
    </row>
    <row r="6" spans="1:17" s="115" customFormat="1" ht="12">
      <c r="A6" s="1112" t="s">
        <v>174</v>
      </c>
      <c r="B6" s="1113"/>
      <c r="C6" s="1113"/>
      <c r="D6" s="1114"/>
      <c r="E6" s="1114"/>
      <c r="F6" s="1114"/>
      <c r="G6" s="1114"/>
      <c r="H6" s="1114"/>
      <c r="I6" s="1114"/>
      <c r="J6" s="1114"/>
      <c r="K6" s="1114"/>
      <c r="L6" s="1114"/>
      <c r="M6" s="1114"/>
      <c r="N6" s="1114"/>
      <c r="O6" s="1114"/>
      <c r="P6" s="1114"/>
      <c r="Q6" s="1115"/>
    </row>
    <row r="7" spans="1:17" s="115" customFormat="1" ht="19.149999999999999" customHeight="1">
      <c r="A7" s="1097" t="s">
        <v>135</v>
      </c>
      <c r="B7" s="1098"/>
      <c r="C7" s="1098"/>
      <c r="D7" s="1104"/>
      <c r="E7" s="1104"/>
      <c r="F7" s="1104"/>
      <c r="G7" s="1104"/>
      <c r="H7" s="1104"/>
      <c r="I7" s="1104"/>
      <c r="J7" s="1104"/>
      <c r="K7" s="1104"/>
      <c r="L7" s="1104"/>
      <c r="M7" s="1104"/>
      <c r="N7" s="1104"/>
      <c r="O7" s="1104"/>
      <c r="P7" s="1104"/>
      <c r="Q7" s="1105"/>
    </row>
    <row r="8" spans="1:17" s="94" customFormat="1" ht="21" customHeight="1">
      <c r="A8" s="859" t="s">
        <v>176</v>
      </c>
      <c r="B8" s="860"/>
      <c r="C8" s="860"/>
      <c r="D8" s="861"/>
      <c r="E8" s="862">
        <f t="shared" ref="E8:J8" si="0">SUM(E40,E57)</f>
        <v>999</v>
      </c>
      <c r="F8" s="862">
        <f t="shared" si="0"/>
        <v>1009</v>
      </c>
      <c r="G8" s="862">
        <f t="shared" si="0"/>
        <v>1003</v>
      </c>
      <c r="H8" s="862">
        <f t="shared" si="0"/>
        <v>995</v>
      </c>
      <c r="I8" s="862">
        <f t="shared" si="0"/>
        <v>982</v>
      </c>
      <c r="J8" s="862">
        <f t="shared" si="0"/>
        <v>953</v>
      </c>
      <c r="K8" s="862"/>
      <c r="L8" s="862"/>
      <c r="M8" s="862"/>
      <c r="N8" s="862"/>
      <c r="O8" s="862"/>
      <c r="P8" s="862"/>
      <c r="Q8" s="947"/>
    </row>
    <row r="9" spans="1:17" s="94" customFormat="1" ht="21" customHeight="1">
      <c r="A9" s="859" t="s">
        <v>17</v>
      </c>
      <c r="B9" s="860"/>
      <c r="C9" s="860"/>
      <c r="D9" s="861"/>
      <c r="E9" s="863">
        <f>E41+E58</f>
        <v>25</v>
      </c>
      <c r="F9" s="863">
        <f t="shared" ref="F9:J11" si="1">F41+F58</f>
        <v>6</v>
      </c>
      <c r="G9" s="863">
        <f t="shared" si="1"/>
        <v>27</v>
      </c>
      <c r="H9" s="863">
        <f t="shared" si="1"/>
        <v>28</v>
      </c>
      <c r="I9" s="863">
        <f t="shared" si="1"/>
        <v>3</v>
      </c>
      <c r="J9" s="863">
        <f t="shared" si="1"/>
        <v>52</v>
      </c>
      <c r="K9" s="864"/>
      <c r="L9" s="860"/>
      <c r="M9" s="860"/>
      <c r="N9" s="860"/>
      <c r="O9" s="860"/>
      <c r="P9" s="860"/>
      <c r="Q9" s="865">
        <f>SUM(E9:P9)</f>
        <v>141</v>
      </c>
    </row>
    <row r="10" spans="1:17" s="94" customFormat="1" ht="21" customHeight="1">
      <c r="A10" s="866" t="s">
        <v>136</v>
      </c>
      <c r="B10" s="867"/>
      <c r="C10" s="867">
        <f t="shared" ref="C10:D10" si="2">C42+C59</f>
        <v>857</v>
      </c>
      <c r="D10" s="868">
        <f t="shared" si="2"/>
        <v>514</v>
      </c>
      <c r="E10" s="868">
        <f>E42+E59</f>
        <v>15</v>
      </c>
      <c r="F10" s="868">
        <f t="shared" si="1"/>
        <v>12</v>
      </c>
      <c r="G10" s="868">
        <f t="shared" si="1"/>
        <v>35</v>
      </c>
      <c r="H10" s="868">
        <f t="shared" si="1"/>
        <v>41</v>
      </c>
      <c r="I10" s="868">
        <f t="shared" si="1"/>
        <v>32</v>
      </c>
      <c r="J10" s="868">
        <f t="shared" si="1"/>
        <v>48</v>
      </c>
      <c r="K10" s="868"/>
      <c r="L10" s="868"/>
      <c r="M10" s="868"/>
      <c r="N10" s="868"/>
      <c r="O10" s="868"/>
      <c r="P10" s="868"/>
      <c r="Q10" s="865">
        <f>SUM(E10:P10)</f>
        <v>183</v>
      </c>
    </row>
    <row r="11" spans="1:17" s="94" customFormat="1" ht="21" customHeight="1">
      <c r="A11" s="859" t="s">
        <v>137</v>
      </c>
      <c r="B11" s="860"/>
      <c r="C11" s="869"/>
      <c r="D11" s="870"/>
      <c r="E11" s="869">
        <f>E43+E60</f>
        <v>1</v>
      </c>
      <c r="F11" s="869">
        <f t="shared" si="1"/>
        <v>4</v>
      </c>
      <c r="G11" s="869">
        <f t="shared" si="1"/>
        <v>10</v>
      </c>
      <c r="H11" s="869">
        <f t="shared" si="1"/>
        <v>14</v>
      </c>
      <c r="I11" s="869">
        <f t="shared" si="1"/>
        <v>6</v>
      </c>
      <c r="J11" s="869">
        <f t="shared" si="1"/>
        <v>21</v>
      </c>
      <c r="K11" s="871"/>
      <c r="L11" s="869"/>
      <c r="M11" s="869"/>
      <c r="N11" s="869"/>
      <c r="O11" s="869"/>
      <c r="P11" s="869"/>
      <c r="Q11" s="865">
        <f>SUM(E11:P11)</f>
        <v>56</v>
      </c>
    </row>
    <row r="12" spans="1:17" s="94" customFormat="1" ht="21" customHeight="1">
      <c r="A12" s="859" t="s">
        <v>177</v>
      </c>
      <c r="B12" s="860"/>
      <c r="C12" s="869"/>
      <c r="D12" s="870"/>
      <c r="E12" s="872">
        <f>E8+E9-E10</f>
        <v>1009</v>
      </c>
      <c r="F12" s="872">
        <f t="shared" ref="F12:J12" si="3">F8+F9-F10</f>
        <v>1003</v>
      </c>
      <c r="G12" s="872">
        <f t="shared" si="3"/>
        <v>995</v>
      </c>
      <c r="H12" s="872">
        <f t="shared" si="3"/>
        <v>982</v>
      </c>
      <c r="I12" s="872">
        <f t="shared" si="3"/>
        <v>953</v>
      </c>
      <c r="J12" s="872">
        <f t="shared" si="3"/>
        <v>957</v>
      </c>
      <c r="K12" s="871"/>
      <c r="L12" s="869"/>
      <c r="M12" s="869"/>
      <c r="N12" s="869"/>
      <c r="O12" s="869"/>
      <c r="P12" s="869"/>
      <c r="Q12" s="947"/>
    </row>
    <row r="13" spans="1:17" s="94" customFormat="1" ht="21" customHeight="1">
      <c r="A13" s="859" t="s">
        <v>139</v>
      </c>
      <c r="B13" s="860"/>
      <c r="C13" s="869"/>
      <c r="D13" s="873">
        <f>D45+D62</f>
        <v>1007.9552290460001</v>
      </c>
      <c r="E13" s="873">
        <f>E45+E62</f>
        <v>5.8149388799999997</v>
      </c>
      <c r="F13" s="873">
        <f t="shared" ref="F13:J14" si="4">F45+F62</f>
        <v>48.831475920000003</v>
      </c>
      <c r="G13" s="873">
        <f t="shared" si="4"/>
        <v>44.672940320000002</v>
      </c>
      <c r="H13" s="873">
        <f t="shared" si="4"/>
        <v>146.73408080999997</v>
      </c>
      <c r="I13" s="873">
        <f t="shared" si="4"/>
        <v>83.434716379999969</v>
      </c>
      <c r="J13" s="873">
        <f t="shared" si="4"/>
        <v>15.609306869999998</v>
      </c>
      <c r="K13" s="873"/>
      <c r="L13" s="873"/>
      <c r="M13" s="873"/>
      <c r="N13" s="873"/>
      <c r="O13" s="873"/>
      <c r="P13" s="873"/>
      <c r="Q13" s="874">
        <f t="shared" ref="Q13:Q18" si="5">SUM(E13:P13)</f>
        <v>345.09745917999993</v>
      </c>
    </row>
    <row r="14" spans="1:17" s="94" customFormat="1" ht="21" customHeight="1">
      <c r="A14" s="859" t="s">
        <v>138</v>
      </c>
      <c r="B14" s="860"/>
      <c r="C14" s="869"/>
      <c r="D14" s="873">
        <f>D46+D63</f>
        <v>1003.024004717</v>
      </c>
      <c r="E14" s="873">
        <f>E46+E63</f>
        <v>1.373563E-2</v>
      </c>
      <c r="F14" s="873">
        <f t="shared" si="4"/>
        <v>2.7138650400000004</v>
      </c>
      <c r="G14" s="873">
        <f t="shared" si="4"/>
        <v>8.0423003099999999</v>
      </c>
      <c r="H14" s="873">
        <f t="shared" si="4"/>
        <v>11.30846951</v>
      </c>
      <c r="I14" s="873">
        <f t="shared" si="4"/>
        <v>6.0153379999999992E-2</v>
      </c>
      <c r="J14" s="873">
        <f t="shared" si="4"/>
        <v>0.44425980000000004</v>
      </c>
      <c r="K14" s="873"/>
      <c r="L14" s="873"/>
      <c r="M14" s="873"/>
      <c r="N14" s="873"/>
      <c r="O14" s="873"/>
      <c r="P14" s="873"/>
      <c r="Q14" s="874">
        <f t="shared" si="5"/>
        <v>22.582783670000001</v>
      </c>
    </row>
    <row r="15" spans="1:17" s="94" customFormat="1" ht="21" customHeight="1">
      <c r="A15" s="866" t="s">
        <v>140</v>
      </c>
      <c r="B15" s="875">
        <v>83.49486976</v>
      </c>
      <c r="C15" s="875">
        <f t="shared" ref="C15:D15" si="6">SUM(C47,C64)</f>
        <v>2255.66</v>
      </c>
      <c r="D15" s="875">
        <f t="shared" si="6"/>
        <v>2010.9792337630001</v>
      </c>
      <c r="E15" s="875">
        <f>E13+E14</f>
        <v>5.8286745099999999</v>
      </c>
      <c r="F15" s="875">
        <f t="shared" ref="F15:J15" si="7">F13+F14</f>
        <v>51.545340960000004</v>
      </c>
      <c r="G15" s="875">
        <f t="shared" si="7"/>
        <v>52.715240630000004</v>
      </c>
      <c r="H15" s="875">
        <f t="shared" si="7"/>
        <v>158.04255031999998</v>
      </c>
      <c r="I15" s="875">
        <f t="shared" si="7"/>
        <v>83.494869759999972</v>
      </c>
      <c r="J15" s="875">
        <f t="shared" si="7"/>
        <v>16.053566669999999</v>
      </c>
      <c r="K15" s="873"/>
      <c r="L15" s="873"/>
      <c r="M15" s="873"/>
      <c r="N15" s="873"/>
      <c r="O15" s="873"/>
      <c r="P15" s="873"/>
      <c r="Q15" s="874">
        <f t="shared" si="5"/>
        <v>367.68024284999996</v>
      </c>
    </row>
    <row r="16" spans="1:17" s="94" customFormat="1" ht="21" customHeight="1">
      <c r="A16" s="859" t="s">
        <v>141</v>
      </c>
      <c r="B16" s="876"/>
      <c r="C16" s="876"/>
      <c r="D16" s="877">
        <f>D48+D65</f>
        <v>93.119930980000007</v>
      </c>
      <c r="E16" s="878">
        <f>E48+E65</f>
        <v>1.3765570000000001E-2</v>
      </c>
      <c r="F16" s="878">
        <f t="shared" ref="F16:J17" si="8">F48+F65</f>
        <v>9.2868829999999999E-2</v>
      </c>
      <c r="G16" s="878">
        <f t="shared" si="8"/>
        <v>3.36121018</v>
      </c>
      <c r="H16" s="878">
        <f t="shared" si="8"/>
        <v>1.1348906700000003</v>
      </c>
      <c r="I16" s="878">
        <f t="shared" si="8"/>
        <v>7.4618140000000013E-2</v>
      </c>
      <c r="J16" s="878">
        <f t="shared" si="8"/>
        <v>2.3561733200000003</v>
      </c>
      <c r="K16" s="878"/>
      <c r="L16" s="878"/>
      <c r="M16" s="878"/>
      <c r="N16" s="878"/>
      <c r="O16" s="878"/>
      <c r="P16" s="878"/>
      <c r="Q16" s="874">
        <f t="shared" si="5"/>
        <v>7.0335267100000003</v>
      </c>
    </row>
    <row r="17" spans="1:17" s="94" customFormat="1" ht="21" customHeight="1">
      <c r="A17" s="859" t="s">
        <v>142</v>
      </c>
      <c r="B17" s="876"/>
      <c r="C17" s="876"/>
      <c r="D17" s="877">
        <f>D49+D66</f>
        <v>251.48547825999998</v>
      </c>
      <c r="E17" s="878">
        <f>E49+E66</f>
        <v>16.41879106</v>
      </c>
      <c r="F17" s="878">
        <f t="shared" si="8"/>
        <v>22.491995000000003</v>
      </c>
      <c r="G17" s="878">
        <f t="shared" si="8"/>
        <v>7.3774058499999979</v>
      </c>
      <c r="H17" s="878">
        <f t="shared" si="8"/>
        <v>9.0888026300000018</v>
      </c>
      <c r="I17" s="878">
        <f t="shared" si="8"/>
        <v>8.7076039799999982</v>
      </c>
      <c r="J17" s="878">
        <f t="shared" si="8"/>
        <v>4.523679389999999</v>
      </c>
      <c r="K17" s="878"/>
      <c r="L17" s="878"/>
      <c r="M17" s="878"/>
      <c r="N17" s="878"/>
      <c r="O17" s="878"/>
      <c r="P17" s="878"/>
      <c r="Q17" s="874">
        <f t="shared" si="5"/>
        <v>68.608277909999998</v>
      </c>
    </row>
    <row r="18" spans="1:17" s="94" customFormat="1" ht="21" customHeight="1" thickBot="1">
      <c r="A18" s="879" t="s">
        <v>143</v>
      </c>
      <c r="B18" s="880"/>
      <c r="C18" s="880">
        <f>SUM(C50,C67)</f>
        <v>300</v>
      </c>
      <c r="D18" s="880">
        <f>SUM(D50,D67)</f>
        <v>344.60540924000003</v>
      </c>
      <c r="E18" s="881">
        <f>SUM(E16:E17)</f>
        <v>16.432556630000001</v>
      </c>
      <c r="F18" s="881">
        <f t="shared" ref="F18:J18" si="9">SUM(F16:F17)</f>
        <v>22.584863830000003</v>
      </c>
      <c r="G18" s="881">
        <f t="shared" si="9"/>
        <v>10.738616029999998</v>
      </c>
      <c r="H18" s="881">
        <f t="shared" si="9"/>
        <v>10.223693300000003</v>
      </c>
      <c r="I18" s="881">
        <f t="shared" si="9"/>
        <v>8.7822221199999984</v>
      </c>
      <c r="J18" s="881">
        <f t="shared" si="9"/>
        <v>6.8798527099999998</v>
      </c>
      <c r="K18" s="882"/>
      <c r="L18" s="882"/>
      <c r="M18" s="882"/>
      <c r="N18" s="882"/>
      <c r="O18" s="882"/>
      <c r="P18" s="882"/>
      <c r="Q18" s="874">
        <f t="shared" si="5"/>
        <v>75.641804619999988</v>
      </c>
    </row>
    <row r="19" spans="1:17" s="159" customFormat="1" ht="21" customHeight="1" thickBot="1">
      <c r="A19" s="212" t="s">
        <v>338</v>
      </c>
      <c r="B19" s="218"/>
      <c r="C19" s="218"/>
      <c r="D19" s="213">
        <v>0.17136199293075977</v>
      </c>
      <c r="E19" s="213">
        <f t="shared" ref="E19:J19" si="10">E18/E15</f>
        <v>2.8192613263628612</v>
      </c>
      <c r="F19" s="213">
        <f t="shared" si="10"/>
        <v>0.4381552902623384</v>
      </c>
      <c r="G19" s="213">
        <f t="shared" si="10"/>
        <v>0.20370989303402137</v>
      </c>
      <c r="H19" s="213">
        <f t="shared" si="10"/>
        <v>6.4689498361671358E-2</v>
      </c>
      <c r="I19" s="213">
        <f t="shared" si="10"/>
        <v>0.10518277524408227</v>
      </c>
      <c r="J19" s="213">
        <f t="shared" si="10"/>
        <v>0.42855602442893148</v>
      </c>
      <c r="K19" s="213"/>
      <c r="L19" s="213"/>
      <c r="M19" s="213"/>
      <c r="N19" s="213"/>
      <c r="O19" s="213"/>
      <c r="P19" s="213"/>
      <c r="Q19" s="213">
        <f>Q18/Q15</f>
        <v>0.20572713952122543</v>
      </c>
    </row>
    <row r="20" spans="1:17" s="115" customFormat="1" ht="13.15" customHeight="1">
      <c r="A20" s="191"/>
      <c r="B20" s="192"/>
      <c r="C20" s="192"/>
      <c r="D20" s="193"/>
      <c r="E20" s="194"/>
      <c r="F20" s="194"/>
      <c r="G20" s="194"/>
      <c r="H20" s="194"/>
      <c r="I20" s="194"/>
      <c r="J20" s="194"/>
      <c r="K20" s="194"/>
      <c r="L20" s="194"/>
      <c r="M20" s="194"/>
      <c r="N20" s="194"/>
      <c r="O20" s="194"/>
      <c r="P20" s="194"/>
      <c r="Q20" s="195"/>
    </row>
    <row r="21" spans="1:17" s="115" customFormat="1" ht="25.5" customHeight="1">
      <c r="A21" s="1116" t="s">
        <v>144</v>
      </c>
      <c r="B21" s="1116"/>
      <c r="C21" s="1116"/>
      <c r="D21" s="1117"/>
      <c r="E21" s="1117"/>
      <c r="F21" s="1117"/>
      <c r="G21" s="1117"/>
      <c r="H21" s="1117"/>
      <c r="I21" s="1117"/>
      <c r="J21" s="1117"/>
      <c r="K21" s="1117"/>
      <c r="L21" s="1117"/>
      <c r="M21" s="1117"/>
      <c r="N21" s="1117"/>
      <c r="O21" s="1117"/>
      <c r="P21" s="1117"/>
      <c r="Q21" s="1118"/>
    </row>
    <row r="22" spans="1:17" s="115" customFormat="1" ht="12">
      <c r="A22" s="997" t="s">
        <v>20</v>
      </c>
      <c r="B22" s="883"/>
      <c r="C22" s="883"/>
      <c r="D22" s="884">
        <v>32</v>
      </c>
      <c r="E22" s="885">
        <v>1</v>
      </c>
      <c r="F22" s="885">
        <v>4</v>
      </c>
      <c r="G22" s="885">
        <v>6</v>
      </c>
      <c r="H22" s="885">
        <v>6</v>
      </c>
      <c r="I22" s="885">
        <v>5</v>
      </c>
      <c r="J22" s="885">
        <v>4</v>
      </c>
      <c r="K22" s="885"/>
      <c r="L22" s="885"/>
      <c r="M22" s="885"/>
      <c r="N22" s="885"/>
      <c r="O22" s="885"/>
      <c r="P22" s="885"/>
      <c r="Q22" s="886">
        <f>SUM(E22:P22)</f>
        <v>26</v>
      </c>
    </row>
    <row r="23" spans="1:17" s="115" customFormat="1" ht="8.4499999999999993" customHeight="1">
      <c r="A23" s="162"/>
      <c r="B23" s="162"/>
      <c r="C23" s="162"/>
      <c r="D23" s="163"/>
      <c r="E23" s="164"/>
      <c r="F23" s="164"/>
      <c r="G23" s="165"/>
      <c r="H23" s="165"/>
      <c r="I23" s="165"/>
      <c r="J23" s="165"/>
      <c r="K23" s="165"/>
      <c r="L23" s="165"/>
      <c r="M23" s="165"/>
      <c r="N23" s="165"/>
      <c r="O23" s="165"/>
      <c r="P23" s="165"/>
      <c r="Q23" s="166"/>
    </row>
    <row r="24" spans="1:17" s="115" customFormat="1" ht="16.149999999999999" customHeight="1">
      <c r="A24" s="1119" t="s">
        <v>145</v>
      </c>
      <c r="B24" s="1119"/>
      <c r="C24" s="1119"/>
      <c r="D24" s="1120"/>
      <c r="E24" s="1120"/>
      <c r="F24" s="1120"/>
      <c r="G24" s="1120"/>
      <c r="H24" s="1120"/>
      <c r="I24" s="1120"/>
      <c r="J24" s="1120"/>
      <c r="K24" s="1120"/>
      <c r="L24" s="1120"/>
      <c r="M24" s="1120"/>
      <c r="N24" s="1120"/>
      <c r="O24" s="1120"/>
      <c r="P24" s="1120"/>
      <c r="Q24" s="1121"/>
    </row>
    <row r="25" spans="1:17" s="115" customFormat="1" ht="25.5" customHeight="1">
      <c r="A25" s="859" t="s">
        <v>192</v>
      </c>
      <c r="B25" s="859"/>
      <c r="C25" s="859"/>
      <c r="D25" s="887"/>
      <c r="E25" s="888">
        <v>5</v>
      </c>
      <c r="F25" s="888">
        <v>6</v>
      </c>
      <c r="G25" s="888">
        <v>6</v>
      </c>
      <c r="H25" s="888">
        <v>7</v>
      </c>
      <c r="I25" s="888">
        <v>7</v>
      </c>
      <c r="J25" s="888">
        <v>6</v>
      </c>
      <c r="K25" s="887"/>
      <c r="L25" s="887"/>
      <c r="M25" s="887"/>
      <c r="N25" s="887"/>
      <c r="O25" s="887"/>
      <c r="P25" s="887"/>
      <c r="Q25" s="947"/>
    </row>
    <row r="26" spans="1:17" s="115" customFormat="1" ht="25.5" customHeight="1">
      <c r="A26" s="859" t="s">
        <v>146</v>
      </c>
      <c r="B26" s="859"/>
      <c r="C26" s="859"/>
      <c r="D26" s="884"/>
      <c r="E26" s="888">
        <v>1</v>
      </c>
      <c r="F26" s="888">
        <v>0</v>
      </c>
      <c r="G26" s="888">
        <v>1</v>
      </c>
      <c r="H26" s="888">
        <v>0</v>
      </c>
      <c r="I26" s="888">
        <v>0</v>
      </c>
      <c r="J26" s="888">
        <v>3</v>
      </c>
      <c r="K26" s="889"/>
      <c r="L26" s="889"/>
      <c r="M26" s="889"/>
      <c r="N26" s="889"/>
      <c r="O26" s="889"/>
      <c r="P26" s="889"/>
      <c r="Q26" s="890">
        <f>SUM(E26:P26)</f>
        <v>5</v>
      </c>
    </row>
    <row r="27" spans="1:17" s="115" customFormat="1" ht="25.5" customHeight="1">
      <c r="A27" s="866" t="s">
        <v>147</v>
      </c>
      <c r="B27" s="866"/>
      <c r="C27" s="866"/>
      <c r="D27" s="884"/>
      <c r="E27" s="888">
        <v>0</v>
      </c>
      <c r="F27" s="888">
        <v>0</v>
      </c>
      <c r="G27" s="888">
        <v>0</v>
      </c>
      <c r="H27" s="888">
        <v>0</v>
      </c>
      <c r="I27" s="888">
        <v>1</v>
      </c>
      <c r="J27" s="888">
        <v>0</v>
      </c>
      <c r="K27" s="889"/>
      <c r="L27" s="889"/>
      <c r="M27" s="889"/>
      <c r="N27" s="889"/>
      <c r="O27" s="889"/>
      <c r="P27" s="889"/>
      <c r="Q27" s="890">
        <f>SUM(E27:P27)</f>
        <v>1</v>
      </c>
    </row>
    <row r="28" spans="1:17" s="115" customFormat="1" ht="25.5" customHeight="1">
      <c r="A28" s="859" t="s">
        <v>148</v>
      </c>
      <c r="B28" s="859"/>
      <c r="C28" s="859"/>
      <c r="D28" s="884"/>
      <c r="E28" s="863">
        <f>E25+E26-E27</f>
        <v>6</v>
      </c>
      <c r="F28" s="863">
        <f t="shared" ref="F28:J28" si="11">F25+F26-F27</f>
        <v>6</v>
      </c>
      <c r="G28" s="863">
        <f t="shared" si="11"/>
        <v>7</v>
      </c>
      <c r="H28" s="863">
        <f t="shared" si="11"/>
        <v>7</v>
      </c>
      <c r="I28" s="863">
        <f t="shared" si="11"/>
        <v>6</v>
      </c>
      <c r="J28" s="863">
        <f t="shared" si="11"/>
        <v>9</v>
      </c>
      <c r="K28" s="889"/>
      <c r="L28" s="889"/>
      <c r="M28" s="889"/>
      <c r="N28" s="889"/>
      <c r="O28" s="889"/>
      <c r="P28" s="889"/>
      <c r="Q28" s="947"/>
    </row>
    <row r="29" spans="1:17" s="115" customFormat="1" ht="21" customHeight="1">
      <c r="A29" s="866" t="s">
        <v>22</v>
      </c>
      <c r="B29" s="866"/>
      <c r="C29" s="866"/>
      <c r="D29" s="884"/>
      <c r="E29" s="885">
        <v>0</v>
      </c>
      <c r="F29" s="885">
        <v>0</v>
      </c>
      <c r="G29" s="885">
        <v>0</v>
      </c>
      <c r="H29" s="885">
        <v>0</v>
      </c>
      <c r="I29" s="878">
        <v>0.34192411</v>
      </c>
      <c r="J29" s="885">
        <v>0</v>
      </c>
      <c r="K29" s="889"/>
      <c r="L29" s="889"/>
      <c r="M29" s="889"/>
      <c r="N29" s="889"/>
      <c r="O29" s="889"/>
      <c r="P29" s="889"/>
      <c r="Q29" s="877">
        <f>SUM(E29:P29)</f>
        <v>0.34192411</v>
      </c>
    </row>
    <row r="30" spans="1:17" s="115" customFormat="1" ht="25.5" customHeight="1">
      <c r="A30" s="866" t="s">
        <v>21</v>
      </c>
      <c r="B30" s="866"/>
      <c r="C30" s="866"/>
      <c r="D30" s="884"/>
      <c r="E30" s="885">
        <v>0</v>
      </c>
      <c r="F30" s="885">
        <v>0</v>
      </c>
      <c r="G30" s="885">
        <v>0</v>
      </c>
      <c r="H30" s="885">
        <v>0</v>
      </c>
      <c r="I30" s="885">
        <v>0</v>
      </c>
      <c r="J30" s="885">
        <v>0</v>
      </c>
      <c r="K30" s="889"/>
      <c r="L30" s="889"/>
      <c r="M30" s="889"/>
      <c r="N30" s="889"/>
      <c r="O30" s="889"/>
      <c r="P30" s="889"/>
      <c r="Q30" s="877">
        <f>SUM(E30:P30)</f>
        <v>0</v>
      </c>
    </row>
    <row r="31" spans="1:17" s="115" customFormat="1" ht="3.75" customHeight="1">
      <c r="A31" s="162"/>
      <c r="B31" s="162"/>
      <c r="C31" s="162"/>
      <c r="D31" s="163"/>
      <c r="E31" s="164"/>
      <c r="F31" s="164"/>
      <c r="G31" s="165"/>
      <c r="H31" s="165"/>
      <c r="I31" s="165"/>
      <c r="J31" s="165"/>
      <c r="K31" s="165"/>
      <c r="L31" s="165"/>
      <c r="M31" s="165"/>
      <c r="N31" s="165"/>
      <c r="O31" s="165"/>
      <c r="P31" s="165"/>
      <c r="Q31" s="166"/>
    </row>
    <row r="32" spans="1:17" s="115" customFormat="1" ht="12">
      <c r="A32" s="123" t="s">
        <v>94</v>
      </c>
      <c r="B32" s="123"/>
      <c r="C32" s="123"/>
      <c r="D32" s="1122"/>
      <c r="E32" s="1122"/>
      <c r="F32" s="1122"/>
      <c r="G32" s="1122"/>
      <c r="H32" s="1122"/>
      <c r="I32" s="1122"/>
      <c r="J32" s="1122"/>
      <c r="K32" s="1122"/>
      <c r="L32" s="1122"/>
      <c r="M32" s="1122"/>
      <c r="N32" s="1122"/>
      <c r="O32" s="1122"/>
      <c r="P32" s="1122"/>
      <c r="Q32" s="1122"/>
    </row>
    <row r="33" spans="1:17" s="115" customFormat="1" ht="12">
      <c r="A33" s="1123" t="s">
        <v>149</v>
      </c>
      <c r="B33" s="1123"/>
      <c r="C33" s="1123"/>
      <c r="D33" s="1124"/>
      <c r="E33" s="1124"/>
      <c r="F33" s="1124"/>
      <c r="G33" s="1124"/>
      <c r="H33" s="1124"/>
      <c r="I33" s="1124"/>
      <c r="J33" s="1124"/>
      <c r="K33" s="1124"/>
      <c r="L33" s="1124"/>
      <c r="M33" s="1124"/>
      <c r="N33" s="1124"/>
      <c r="O33" s="1124"/>
      <c r="P33" s="1124"/>
      <c r="Q33" s="1124"/>
    </row>
    <row r="34" spans="1:17" s="115" customFormat="1" ht="12">
      <c r="A34" s="946" t="s">
        <v>371</v>
      </c>
      <c r="B34" s="855"/>
      <c r="C34" s="855"/>
      <c r="D34" s="648"/>
      <c r="E34" s="648"/>
      <c r="F34" s="648"/>
      <c r="G34" s="648"/>
      <c r="H34" s="648"/>
      <c r="I34" s="648"/>
      <c r="J34" s="648"/>
      <c r="K34" s="648"/>
      <c r="L34" s="648"/>
      <c r="M34" s="648"/>
      <c r="N34" s="648"/>
      <c r="O34" s="648"/>
      <c r="P34" s="648"/>
      <c r="Q34" s="648"/>
    </row>
    <row r="35" spans="1:17" s="115" customFormat="1" ht="25.5" customHeight="1">
      <c r="A35" s="855" t="s">
        <v>150</v>
      </c>
      <c r="B35" s="855"/>
      <c r="C35" s="855"/>
      <c r="D35" s="648"/>
      <c r="E35" s="648"/>
      <c r="F35" s="648"/>
      <c r="G35" s="648"/>
      <c r="H35" s="648"/>
      <c r="I35" s="648"/>
      <c r="J35" s="648"/>
      <c r="K35" s="648"/>
      <c r="L35" s="648"/>
      <c r="M35" s="648"/>
      <c r="N35" s="648"/>
      <c r="O35" s="648"/>
      <c r="P35" s="648"/>
      <c r="Q35" s="648"/>
    </row>
    <row r="36" spans="1:17" s="116" customFormat="1" ht="19.5" customHeight="1">
      <c r="A36" s="1106"/>
      <c r="B36" s="1108" t="s">
        <v>23</v>
      </c>
      <c r="C36" s="1108" t="s">
        <v>24</v>
      </c>
      <c r="D36" s="1108" t="s">
        <v>25</v>
      </c>
      <c r="E36" s="1109">
        <v>2016</v>
      </c>
      <c r="F36" s="1110"/>
      <c r="G36" s="1110"/>
      <c r="H36" s="1110"/>
      <c r="I36" s="1110"/>
      <c r="J36" s="1110"/>
      <c r="K36" s="1110"/>
      <c r="L36" s="1110"/>
      <c r="M36" s="1110"/>
      <c r="N36" s="1110"/>
      <c r="O36" s="1110"/>
      <c r="P36" s="1110"/>
      <c r="Q36" s="1111"/>
    </row>
    <row r="37" spans="1:17" s="116" customFormat="1" ht="19.5" customHeight="1">
      <c r="A37" s="1107"/>
      <c r="B37" s="1086"/>
      <c r="C37" s="1086"/>
      <c r="D37" s="1086"/>
      <c r="E37" s="858" t="s">
        <v>26</v>
      </c>
      <c r="F37" s="858" t="s">
        <v>27</v>
      </c>
      <c r="G37" s="858" t="s">
        <v>28</v>
      </c>
      <c r="H37" s="858" t="s">
        <v>29</v>
      </c>
      <c r="I37" s="858" t="s">
        <v>30</v>
      </c>
      <c r="J37" s="858" t="s">
        <v>31</v>
      </c>
      <c r="K37" s="858" t="s">
        <v>32</v>
      </c>
      <c r="L37" s="858" t="s">
        <v>33</v>
      </c>
      <c r="M37" s="858" t="s">
        <v>34</v>
      </c>
      <c r="N37" s="858" t="s">
        <v>35</v>
      </c>
      <c r="O37" s="858" t="s">
        <v>36</v>
      </c>
      <c r="P37" s="858" t="s">
        <v>37</v>
      </c>
      <c r="Q37" s="858" t="s">
        <v>38</v>
      </c>
    </row>
    <row r="38" spans="1:17" s="115" customFormat="1" ht="16.5" customHeight="1">
      <c r="A38" s="1112" t="s">
        <v>112</v>
      </c>
      <c r="B38" s="1113"/>
      <c r="C38" s="1113"/>
      <c r="D38" s="1114"/>
      <c r="E38" s="1114"/>
      <c r="F38" s="1114"/>
      <c r="G38" s="1114"/>
      <c r="H38" s="1114"/>
      <c r="I38" s="1114"/>
      <c r="J38" s="1114"/>
      <c r="K38" s="1114"/>
      <c r="L38" s="1114"/>
      <c r="M38" s="1114"/>
      <c r="N38" s="1114"/>
      <c r="O38" s="1114"/>
      <c r="P38" s="1114"/>
      <c r="Q38" s="1115"/>
    </row>
    <row r="39" spans="1:17" s="115" customFormat="1" ht="16.5" customHeight="1">
      <c r="A39" s="1097" t="s">
        <v>151</v>
      </c>
      <c r="B39" s="1098"/>
      <c r="C39" s="1098"/>
      <c r="D39" s="1104"/>
      <c r="E39" s="1104"/>
      <c r="F39" s="1104"/>
      <c r="G39" s="1104"/>
      <c r="H39" s="1104"/>
      <c r="I39" s="1104"/>
      <c r="J39" s="1104"/>
      <c r="K39" s="1104"/>
      <c r="L39" s="1104"/>
      <c r="M39" s="1104"/>
      <c r="N39" s="1104"/>
      <c r="O39" s="1104"/>
      <c r="P39" s="1104"/>
      <c r="Q39" s="1105"/>
    </row>
    <row r="40" spans="1:17" s="115" customFormat="1" ht="28.5" customHeight="1">
      <c r="A40" s="859" t="s">
        <v>178</v>
      </c>
      <c r="B40" s="859"/>
      <c r="C40" s="859"/>
      <c r="D40" s="891"/>
      <c r="E40" s="892">
        <v>808</v>
      </c>
      <c r="F40" s="893">
        <v>796</v>
      </c>
      <c r="G40" s="893">
        <v>791</v>
      </c>
      <c r="H40" s="892">
        <v>785</v>
      </c>
      <c r="I40" s="892">
        <v>782</v>
      </c>
      <c r="J40" s="892">
        <v>763</v>
      </c>
      <c r="K40" s="894"/>
      <c r="L40" s="892"/>
      <c r="M40" s="892"/>
      <c r="N40" s="892"/>
      <c r="O40" s="892"/>
      <c r="P40" s="892"/>
      <c r="Q40" s="947"/>
    </row>
    <row r="41" spans="1:17" s="115" customFormat="1" ht="12">
      <c r="A41" s="859" t="s">
        <v>153</v>
      </c>
      <c r="B41" s="859"/>
      <c r="C41" s="859"/>
      <c r="D41" s="891"/>
      <c r="E41" s="892">
        <f>1-2</f>
        <v>-1</v>
      </c>
      <c r="F41" s="892">
        <v>2</v>
      </c>
      <c r="G41" s="892">
        <v>19</v>
      </c>
      <c r="H41" s="892">
        <v>22</v>
      </c>
      <c r="I41" s="892">
        <v>3</v>
      </c>
      <c r="J41" s="892">
        <v>48</v>
      </c>
      <c r="K41" s="895"/>
      <c r="L41" s="895"/>
      <c r="M41" s="895"/>
      <c r="N41" s="895"/>
      <c r="O41" s="895"/>
      <c r="P41" s="895"/>
      <c r="Q41" s="896">
        <f>SUM(E41:P41)</f>
        <v>93</v>
      </c>
    </row>
    <row r="42" spans="1:17" s="115" customFormat="1" ht="16.5" customHeight="1">
      <c r="A42" s="897" t="s">
        <v>155</v>
      </c>
      <c r="B42" s="896"/>
      <c r="C42" s="896">
        <v>411</v>
      </c>
      <c r="D42" s="896">
        <v>409</v>
      </c>
      <c r="E42" s="896">
        <v>11</v>
      </c>
      <c r="F42" s="896">
        <v>7</v>
      </c>
      <c r="G42" s="896">
        <v>25</v>
      </c>
      <c r="H42" s="896">
        <v>25</v>
      </c>
      <c r="I42" s="896">
        <v>22</v>
      </c>
      <c r="J42" s="896">
        <v>23</v>
      </c>
      <c r="K42" s="896"/>
      <c r="L42" s="896"/>
      <c r="M42" s="896"/>
      <c r="N42" s="896"/>
      <c r="O42" s="896"/>
      <c r="P42" s="896"/>
      <c r="Q42" s="896">
        <f>SUM(E42:P42)</f>
        <v>113</v>
      </c>
    </row>
    <row r="43" spans="1:17" s="115" customFormat="1" ht="12">
      <c r="A43" s="898" t="s">
        <v>156</v>
      </c>
      <c r="B43" s="898"/>
      <c r="C43" s="899"/>
      <c r="D43" s="900"/>
      <c r="E43" s="901">
        <v>0</v>
      </c>
      <c r="F43" s="902">
        <v>0</v>
      </c>
      <c r="G43" s="902">
        <v>2</v>
      </c>
      <c r="H43" s="901">
        <v>1</v>
      </c>
      <c r="I43" s="901">
        <v>0</v>
      </c>
      <c r="J43" s="901">
        <v>0</v>
      </c>
      <c r="K43" s="903"/>
      <c r="L43" s="903"/>
      <c r="M43" s="903"/>
      <c r="N43" s="903"/>
      <c r="O43" s="903"/>
      <c r="P43" s="904"/>
      <c r="Q43" s="905">
        <f>SUM(E43:P43)</f>
        <v>3</v>
      </c>
    </row>
    <row r="44" spans="1:17" s="115" customFormat="1" ht="24">
      <c r="A44" s="898" t="s">
        <v>179</v>
      </c>
      <c r="B44" s="898"/>
      <c r="C44" s="898"/>
      <c r="D44" s="906"/>
      <c r="E44" s="907">
        <f>E40+E41-E42</f>
        <v>796</v>
      </c>
      <c r="F44" s="907">
        <f t="shared" ref="F44:J44" si="12">F40+F41-F42</f>
        <v>791</v>
      </c>
      <c r="G44" s="907">
        <f t="shared" si="12"/>
        <v>785</v>
      </c>
      <c r="H44" s="907">
        <f t="shared" si="12"/>
        <v>782</v>
      </c>
      <c r="I44" s="907">
        <f t="shared" si="12"/>
        <v>763</v>
      </c>
      <c r="J44" s="907">
        <f t="shared" si="12"/>
        <v>788</v>
      </c>
      <c r="K44" s="896"/>
      <c r="L44" s="896"/>
      <c r="M44" s="896"/>
      <c r="N44" s="896"/>
      <c r="O44" s="896"/>
      <c r="P44" s="896"/>
      <c r="Q44" s="947"/>
    </row>
    <row r="45" spans="1:17" s="115" customFormat="1" ht="16.5" customHeight="1">
      <c r="A45" s="898" t="s">
        <v>157</v>
      </c>
      <c r="B45" s="898"/>
      <c r="C45" s="898"/>
      <c r="D45" s="908">
        <v>880.82678457600014</v>
      </c>
      <c r="E45" s="909">
        <v>5.8149388799999997</v>
      </c>
      <c r="F45" s="909">
        <v>47.637714510000002</v>
      </c>
      <c r="G45" s="909">
        <v>44.672940320000002</v>
      </c>
      <c r="H45" s="909">
        <v>146.73408080999997</v>
      </c>
      <c r="I45" s="909">
        <v>72.936843029999977</v>
      </c>
      <c r="J45" s="910">
        <v>13.019049829999998</v>
      </c>
      <c r="K45" s="911"/>
      <c r="L45" s="909"/>
      <c r="M45" s="909"/>
      <c r="N45" s="909"/>
      <c r="O45" s="909"/>
      <c r="P45" s="909"/>
      <c r="Q45" s="912">
        <f t="shared" ref="Q45:Q50" si="13">SUM(E45:P45)</f>
        <v>330.81556737999995</v>
      </c>
    </row>
    <row r="46" spans="1:17" s="115" customFormat="1" ht="12">
      <c r="A46" s="898" t="s">
        <v>158</v>
      </c>
      <c r="B46" s="898"/>
      <c r="C46" s="898"/>
      <c r="D46" s="908">
        <v>994.082167497</v>
      </c>
      <c r="E46" s="909">
        <v>1.233563E-2</v>
      </c>
      <c r="F46" s="909">
        <v>2.7135650400000002</v>
      </c>
      <c r="G46" s="909">
        <v>8.0423003099999999</v>
      </c>
      <c r="H46" s="909">
        <v>11.273521199999999</v>
      </c>
      <c r="I46" s="909">
        <v>4.8738979999999994E-2</v>
      </c>
      <c r="J46" s="910">
        <v>0.18234928</v>
      </c>
      <c r="K46" s="909"/>
      <c r="L46" s="909"/>
      <c r="M46" s="909"/>
      <c r="N46" s="909"/>
      <c r="O46" s="909"/>
      <c r="P46" s="909"/>
      <c r="Q46" s="912">
        <f t="shared" si="13"/>
        <v>22.272810440000001</v>
      </c>
    </row>
    <row r="47" spans="1:17" s="115" customFormat="1" ht="23.25" customHeight="1">
      <c r="A47" s="897" t="s">
        <v>159</v>
      </c>
      <c r="B47" s="897"/>
      <c r="C47" s="897">
        <v>2006.56</v>
      </c>
      <c r="D47" s="908">
        <f>D45+D46</f>
        <v>1874.9089520730001</v>
      </c>
      <c r="E47" s="908">
        <f>SUM(E45:E46)</f>
        <v>5.8272745099999996</v>
      </c>
      <c r="F47" s="908">
        <f t="shared" ref="F47:J47" si="14">SUM(F45:F46)</f>
        <v>50.351279550000001</v>
      </c>
      <c r="G47" s="908">
        <f t="shared" si="14"/>
        <v>52.715240630000004</v>
      </c>
      <c r="H47" s="908">
        <f t="shared" si="14"/>
        <v>158.00760200999997</v>
      </c>
      <c r="I47" s="908">
        <f t="shared" si="14"/>
        <v>72.985582009999973</v>
      </c>
      <c r="J47" s="908">
        <f t="shared" si="14"/>
        <v>13.201399109999999</v>
      </c>
      <c r="K47" s="910"/>
      <c r="L47" s="910"/>
      <c r="M47" s="910"/>
      <c r="N47" s="910"/>
      <c r="O47" s="910"/>
      <c r="P47" s="910"/>
      <c r="Q47" s="912">
        <f t="shared" si="13"/>
        <v>353.08837781999995</v>
      </c>
    </row>
    <row r="48" spans="1:17" s="99" customFormat="1" ht="28.5" customHeight="1">
      <c r="A48" s="898" t="s">
        <v>160</v>
      </c>
      <c r="B48" s="898"/>
      <c r="C48" s="898"/>
      <c r="D48" s="909">
        <v>62.756204280000006</v>
      </c>
      <c r="E48" s="910">
        <v>1.3765570000000001E-2</v>
      </c>
      <c r="F48" s="910">
        <v>9.2868829999999999E-2</v>
      </c>
      <c r="G48" s="910">
        <v>3.36121018</v>
      </c>
      <c r="H48" s="910">
        <v>1.1348906700000003</v>
      </c>
      <c r="I48" s="910">
        <v>4.9218180000000007E-2</v>
      </c>
      <c r="J48" s="910">
        <v>2.3372913400000002</v>
      </c>
      <c r="K48" s="910"/>
      <c r="L48" s="910"/>
      <c r="M48" s="910"/>
      <c r="N48" s="910"/>
      <c r="O48" s="910"/>
      <c r="P48" s="910"/>
      <c r="Q48" s="912">
        <f t="shared" si="13"/>
        <v>6.9892447700000009</v>
      </c>
    </row>
    <row r="49" spans="1:75" s="99" customFormat="1">
      <c r="A49" s="898" t="s">
        <v>162</v>
      </c>
      <c r="B49" s="908"/>
      <c r="C49" s="908"/>
      <c r="D49" s="909">
        <v>183.42263849</v>
      </c>
      <c r="E49" s="910">
        <v>16.21346617</v>
      </c>
      <c r="F49" s="910">
        <v>6.7400903900000015</v>
      </c>
      <c r="G49" s="910">
        <v>6.9945446399999991</v>
      </c>
      <c r="H49" s="910">
        <v>7.2107176600000011</v>
      </c>
      <c r="I49" s="910">
        <v>6.0962337899999994</v>
      </c>
      <c r="J49" s="910">
        <v>3.3851540999999994</v>
      </c>
      <c r="K49" s="910"/>
      <c r="L49" s="910"/>
      <c r="M49" s="910"/>
      <c r="N49" s="910"/>
      <c r="O49" s="910"/>
      <c r="P49" s="910"/>
      <c r="Q49" s="912">
        <f t="shared" si="13"/>
        <v>46.640206750000004</v>
      </c>
    </row>
    <row r="50" spans="1:75" s="99" customFormat="1" ht="24">
      <c r="A50" s="913" t="s">
        <v>164</v>
      </c>
      <c r="B50" s="914"/>
      <c r="C50" s="914">
        <v>228.9</v>
      </c>
      <c r="D50" s="914">
        <f>D48+D49</f>
        <v>246.17884277000002</v>
      </c>
      <c r="E50" s="914">
        <f>SUM(E48:E49)</f>
        <v>16.227231740000001</v>
      </c>
      <c r="F50" s="914">
        <f t="shared" ref="F50:J50" si="15">SUM(F48:F49)</f>
        <v>6.8329592200000011</v>
      </c>
      <c r="G50" s="914">
        <f t="shared" si="15"/>
        <v>10.35575482</v>
      </c>
      <c r="H50" s="914">
        <f t="shared" si="15"/>
        <v>8.345608330000001</v>
      </c>
      <c r="I50" s="914">
        <f t="shared" si="15"/>
        <v>6.1454519699999999</v>
      </c>
      <c r="J50" s="914">
        <f t="shared" si="15"/>
        <v>5.7224454399999996</v>
      </c>
      <c r="K50" s="914"/>
      <c r="L50" s="914"/>
      <c r="M50" s="914"/>
      <c r="N50" s="914"/>
      <c r="O50" s="914"/>
      <c r="P50" s="914"/>
      <c r="Q50" s="912">
        <f t="shared" si="13"/>
        <v>53.629451520000003</v>
      </c>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c r="BT50" s="227"/>
      <c r="BU50" s="227"/>
      <c r="BV50" s="227"/>
      <c r="BW50" s="227"/>
    </row>
    <row r="51" spans="1:75" s="918" customFormat="1" ht="18.75" customHeight="1">
      <c r="A51" s="866" t="s">
        <v>334</v>
      </c>
      <c r="B51" s="859"/>
      <c r="C51" s="915">
        <f>C50/C47</f>
        <v>0.11407583127342318</v>
      </c>
      <c r="D51" s="915">
        <f>D50/D47</f>
        <v>0.1313017586789009</v>
      </c>
      <c r="E51" s="915">
        <f>E50/E47</f>
        <v>2.7847035028387572</v>
      </c>
      <c r="F51" s="915">
        <f t="shared" ref="F51:J51" si="16">F50/F47</f>
        <v>0.13570577115552174</v>
      </c>
      <c r="G51" s="915">
        <f t="shared" si="16"/>
        <v>0.19644707481628351</v>
      </c>
      <c r="H51" s="915">
        <f t="shared" si="16"/>
        <v>5.2817764612817966E-2</v>
      </c>
      <c r="I51" s="915">
        <f t="shared" si="16"/>
        <v>8.4200903805329561E-2</v>
      </c>
      <c r="J51" s="915">
        <f t="shared" si="16"/>
        <v>0.43347264879411712</v>
      </c>
      <c r="K51" s="916"/>
      <c r="L51" s="916"/>
      <c r="M51" s="916"/>
      <c r="N51" s="916"/>
      <c r="O51" s="916"/>
      <c r="P51" s="916"/>
      <c r="Q51" s="917">
        <f>Q50/Q47</f>
        <v>0.15188676515243338</v>
      </c>
      <c r="R51" s="229"/>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row>
    <row r="52" spans="1:75" s="228" customFormat="1" ht="18.75" customHeight="1">
      <c r="A52" s="854"/>
      <c r="B52" s="919"/>
      <c r="C52" s="920"/>
      <c r="D52" s="920"/>
      <c r="E52" s="920"/>
      <c r="F52" s="920"/>
      <c r="G52" s="920"/>
      <c r="H52" s="920"/>
      <c r="I52" s="920"/>
      <c r="J52" s="921"/>
      <c r="K52" s="921"/>
      <c r="L52" s="921"/>
      <c r="M52" s="921"/>
      <c r="N52" s="921"/>
      <c r="O52" s="921"/>
      <c r="P52" s="921"/>
      <c r="Q52" s="922"/>
    </row>
    <row r="53" spans="1:75" s="115" customFormat="1" ht="15" customHeight="1">
      <c r="A53" s="191"/>
      <c r="B53" s="192"/>
      <c r="C53" s="192"/>
      <c r="D53" s="193"/>
      <c r="E53" s="194"/>
      <c r="F53" s="194"/>
      <c r="G53" s="194"/>
      <c r="H53" s="194"/>
      <c r="I53" s="194"/>
      <c r="J53" s="194"/>
      <c r="K53" s="194"/>
      <c r="L53" s="194"/>
      <c r="M53" s="194"/>
      <c r="N53" s="194"/>
      <c r="O53" s="194"/>
      <c r="P53" s="194"/>
      <c r="Q53" s="195"/>
    </row>
    <row r="54" spans="1:75" s="115" customFormat="1" ht="17.25" customHeight="1">
      <c r="A54" s="1106"/>
      <c r="B54" s="1108" t="s">
        <v>23</v>
      </c>
      <c r="C54" s="1108" t="s">
        <v>24</v>
      </c>
      <c r="D54" s="1108" t="s">
        <v>25</v>
      </c>
      <c r="E54" s="1109">
        <v>2016</v>
      </c>
      <c r="F54" s="1110"/>
      <c r="G54" s="1110"/>
      <c r="H54" s="1110"/>
      <c r="I54" s="1110"/>
      <c r="J54" s="1110"/>
      <c r="K54" s="1110"/>
      <c r="L54" s="1110"/>
      <c r="M54" s="1110"/>
      <c r="N54" s="1110"/>
      <c r="O54" s="1110"/>
      <c r="P54" s="1110"/>
      <c r="Q54" s="1111"/>
    </row>
    <row r="55" spans="1:75" s="115" customFormat="1" ht="20.25" customHeight="1">
      <c r="A55" s="1107"/>
      <c r="B55" s="1086"/>
      <c r="C55" s="1086"/>
      <c r="D55" s="1086"/>
      <c r="E55" s="858" t="s">
        <v>26</v>
      </c>
      <c r="F55" s="858" t="s">
        <v>27</v>
      </c>
      <c r="G55" s="858" t="s">
        <v>28</v>
      </c>
      <c r="H55" s="858" t="s">
        <v>29</v>
      </c>
      <c r="I55" s="858" t="s">
        <v>30</v>
      </c>
      <c r="J55" s="858" t="s">
        <v>31</v>
      </c>
      <c r="K55" s="858" t="s">
        <v>32</v>
      </c>
      <c r="L55" s="858" t="s">
        <v>33</v>
      </c>
      <c r="M55" s="858" t="s">
        <v>34</v>
      </c>
      <c r="N55" s="858" t="s">
        <v>35</v>
      </c>
      <c r="O55" s="858" t="s">
        <v>36</v>
      </c>
      <c r="P55" s="858" t="s">
        <v>37</v>
      </c>
      <c r="Q55" s="858" t="s">
        <v>38</v>
      </c>
    </row>
    <row r="56" spans="1:75" s="115" customFormat="1" ht="25.5" customHeight="1">
      <c r="A56" s="1097" t="s">
        <v>152</v>
      </c>
      <c r="B56" s="1098"/>
      <c r="C56" s="1098"/>
      <c r="D56" s="1098"/>
      <c r="E56" s="1098"/>
      <c r="F56" s="1098"/>
      <c r="G56" s="1098"/>
      <c r="H56" s="1098"/>
      <c r="I56" s="1098"/>
      <c r="J56" s="1098"/>
      <c r="K56" s="1098"/>
      <c r="L56" s="1098"/>
      <c r="M56" s="1098"/>
      <c r="N56" s="1098"/>
      <c r="O56" s="1098"/>
      <c r="P56" s="1098"/>
      <c r="Q56" s="1099"/>
    </row>
    <row r="57" spans="1:75" s="99" customFormat="1" ht="24.75" customHeight="1">
      <c r="A57" s="859" t="s">
        <v>180</v>
      </c>
      <c r="B57" s="859"/>
      <c r="C57" s="859"/>
      <c r="D57" s="861"/>
      <c r="E57" s="923">
        <f>172+19</f>
        <v>191</v>
      </c>
      <c r="F57" s="923">
        <f>196+17</f>
        <v>213</v>
      </c>
      <c r="G57" s="923">
        <f>193+19</f>
        <v>212</v>
      </c>
      <c r="H57" s="924">
        <f>192+18</f>
        <v>210</v>
      </c>
      <c r="I57" s="860">
        <f>183+17</f>
        <v>200</v>
      </c>
      <c r="J57" s="860">
        <f>173+17</f>
        <v>190</v>
      </c>
      <c r="K57" s="925"/>
      <c r="L57" s="926"/>
      <c r="M57" s="926"/>
      <c r="N57" s="926"/>
      <c r="O57" s="926"/>
      <c r="P57" s="926"/>
      <c r="Q57" s="947"/>
    </row>
    <row r="58" spans="1:75" s="115" customFormat="1" ht="15" customHeight="1">
      <c r="A58" s="859" t="s">
        <v>154</v>
      </c>
      <c r="B58" s="859"/>
      <c r="C58" s="859"/>
      <c r="D58" s="861"/>
      <c r="E58" s="924">
        <v>26</v>
      </c>
      <c r="F58" s="924">
        <f>2+2</f>
        <v>4</v>
      </c>
      <c r="G58" s="924">
        <v>8</v>
      </c>
      <c r="H58" s="924">
        <v>6</v>
      </c>
      <c r="I58" s="924">
        <v>0</v>
      </c>
      <c r="J58" s="697">
        <v>4</v>
      </c>
      <c r="K58" s="697"/>
      <c r="L58" s="697"/>
      <c r="M58" s="697"/>
      <c r="N58" s="697"/>
      <c r="O58" s="697"/>
      <c r="P58" s="697"/>
      <c r="Q58" s="927">
        <f>SUM(E58:P58)</f>
        <v>48</v>
      </c>
    </row>
    <row r="59" spans="1:75" s="115" customFormat="1" ht="21.75" customHeight="1">
      <c r="A59" s="866" t="s">
        <v>166</v>
      </c>
      <c r="B59" s="865"/>
      <c r="C59" s="928">
        <v>446</v>
      </c>
      <c r="D59" s="260">
        <v>105</v>
      </c>
      <c r="E59" s="929">
        <f>2+2</f>
        <v>4</v>
      </c>
      <c r="F59" s="929">
        <v>5</v>
      </c>
      <c r="G59" s="929">
        <f>9+1</f>
        <v>10</v>
      </c>
      <c r="H59" s="930">
        <f>15+1</f>
        <v>16</v>
      </c>
      <c r="I59" s="930">
        <v>10</v>
      </c>
      <c r="J59" s="930">
        <f>24+1</f>
        <v>25</v>
      </c>
      <c r="K59" s="931"/>
      <c r="L59" s="932"/>
      <c r="M59" s="933"/>
      <c r="N59" s="932"/>
      <c r="O59" s="932"/>
      <c r="P59" s="933"/>
      <c r="Q59" s="927">
        <f>SUM(E59:P59)</f>
        <v>70</v>
      </c>
    </row>
    <row r="60" spans="1:75" s="115" customFormat="1" ht="25.5" customHeight="1">
      <c r="A60" s="859" t="s">
        <v>167</v>
      </c>
      <c r="B60" s="859"/>
      <c r="C60" s="934"/>
      <c r="D60" s="870"/>
      <c r="E60" s="869">
        <v>1</v>
      </c>
      <c r="F60" s="935">
        <v>4</v>
      </c>
      <c r="G60" s="935">
        <v>8</v>
      </c>
      <c r="H60" s="869">
        <f>12+1</f>
        <v>13</v>
      </c>
      <c r="I60" s="869">
        <v>6</v>
      </c>
      <c r="J60" s="869">
        <f>20+1</f>
        <v>21</v>
      </c>
      <c r="K60" s="936"/>
      <c r="L60" s="936"/>
      <c r="M60" s="936"/>
      <c r="N60" s="936"/>
      <c r="O60" s="936"/>
      <c r="P60" s="937"/>
      <c r="Q60" s="905">
        <f>SUM(E60:P60)</f>
        <v>53</v>
      </c>
    </row>
    <row r="61" spans="1:75" s="115" customFormat="1" ht="30" customHeight="1">
      <c r="A61" s="859" t="s">
        <v>181</v>
      </c>
      <c r="B61" s="859"/>
      <c r="C61" s="860"/>
      <c r="D61" s="938"/>
      <c r="E61" s="927">
        <f>E57+E58-E59</f>
        <v>213</v>
      </c>
      <c r="F61" s="927">
        <f t="shared" ref="F61:J61" si="17">F57+F58-F59</f>
        <v>212</v>
      </c>
      <c r="G61" s="927">
        <f t="shared" si="17"/>
        <v>210</v>
      </c>
      <c r="H61" s="927">
        <f t="shared" si="17"/>
        <v>200</v>
      </c>
      <c r="I61" s="927">
        <f t="shared" si="17"/>
        <v>190</v>
      </c>
      <c r="J61" s="927">
        <f t="shared" si="17"/>
        <v>169</v>
      </c>
      <c r="K61" s="932"/>
      <c r="L61" s="932"/>
      <c r="M61" s="932"/>
      <c r="N61" s="932"/>
      <c r="O61" s="932"/>
      <c r="P61" s="932"/>
      <c r="Q61" s="947"/>
    </row>
    <row r="62" spans="1:75" s="115" customFormat="1" ht="43.5" customHeight="1">
      <c r="A62" s="859" t="s">
        <v>169</v>
      </c>
      <c r="B62" s="939"/>
      <c r="C62" s="939"/>
      <c r="D62" s="940">
        <v>127.12844446999998</v>
      </c>
      <c r="E62" s="873">
        <v>0</v>
      </c>
      <c r="F62" s="941">
        <v>1.19376141</v>
      </c>
      <c r="G62" s="941">
        <v>0</v>
      </c>
      <c r="H62" s="941">
        <v>0</v>
      </c>
      <c r="I62" s="941">
        <v>10.497873349999999</v>
      </c>
      <c r="J62" s="941">
        <v>2.59025704</v>
      </c>
      <c r="K62" s="941"/>
      <c r="L62" s="941"/>
      <c r="M62" s="941"/>
      <c r="N62" s="941"/>
      <c r="O62" s="941"/>
      <c r="P62" s="941"/>
      <c r="Q62" s="875">
        <f t="shared" ref="Q62:Q67" si="18">SUM(E62:P62)</f>
        <v>14.2818918</v>
      </c>
    </row>
    <row r="63" spans="1:75" s="117" customFormat="1" ht="27" customHeight="1">
      <c r="A63" s="859" t="s">
        <v>170</v>
      </c>
      <c r="B63" s="939"/>
      <c r="C63" s="939"/>
      <c r="D63" s="942">
        <v>8.9418372199999983</v>
      </c>
      <c r="E63" s="873">
        <v>1.4E-3</v>
      </c>
      <c r="F63" s="941">
        <v>2.9999999999999997E-4</v>
      </c>
      <c r="G63" s="941">
        <v>0</v>
      </c>
      <c r="H63" s="941">
        <v>3.4948310000000003E-2</v>
      </c>
      <c r="I63" s="941">
        <v>1.1414399999999998E-2</v>
      </c>
      <c r="J63" s="941">
        <v>0.26191052000000004</v>
      </c>
      <c r="K63" s="943"/>
      <c r="L63" s="941"/>
      <c r="M63" s="941"/>
      <c r="N63" s="941"/>
      <c r="O63" s="941"/>
      <c r="P63" s="941"/>
      <c r="Q63" s="875">
        <f t="shared" si="18"/>
        <v>0.30997323000000004</v>
      </c>
    </row>
    <row r="64" spans="1:75" s="117" customFormat="1" ht="24" customHeight="1">
      <c r="A64" s="866" t="s">
        <v>171</v>
      </c>
      <c r="B64" s="876"/>
      <c r="C64" s="877">
        <v>249.1</v>
      </c>
      <c r="D64" s="875">
        <f>D62+D63</f>
        <v>136.07028168999997</v>
      </c>
      <c r="E64" s="875">
        <f>SUM(E62:E63)</f>
        <v>1.4E-3</v>
      </c>
      <c r="F64" s="875">
        <f t="shared" ref="F64:J64" si="19">SUM(F62:F63)</f>
        <v>1.19406141</v>
      </c>
      <c r="G64" s="875">
        <f t="shared" si="19"/>
        <v>0</v>
      </c>
      <c r="H64" s="875">
        <f t="shared" si="19"/>
        <v>3.4948310000000003E-2</v>
      </c>
      <c r="I64" s="875">
        <f t="shared" si="19"/>
        <v>10.509287749999999</v>
      </c>
      <c r="J64" s="875">
        <f t="shared" si="19"/>
        <v>2.8521675599999998</v>
      </c>
      <c r="K64" s="941"/>
      <c r="L64" s="941"/>
      <c r="M64" s="941"/>
      <c r="N64" s="941"/>
      <c r="O64" s="941"/>
      <c r="P64" s="941"/>
      <c r="Q64" s="875">
        <f t="shared" si="18"/>
        <v>14.591865029999999</v>
      </c>
    </row>
    <row r="65" spans="1:20" s="99" customFormat="1" ht="24">
      <c r="A65" s="859" t="s">
        <v>161</v>
      </c>
      <c r="B65" s="939"/>
      <c r="C65" s="939"/>
      <c r="D65" s="875">
        <v>30.363726699999997</v>
      </c>
      <c r="E65" s="941">
        <v>0</v>
      </c>
      <c r="F65" s="941">
        <v>0</v>
      </c>
      <c r="G65" s="941">
        <v>0</v>
      </c>
      <c r="H65" s="941">
        <v>0</v>
      </c>
      <c r="I65" s="941">
        <v>2.5399960000000003E-2</v>
      </c>
      <c r="J65" s="941">
        <v>1.888198E-2</v>
      </c>
      <c r="K65" s="941"/>
      <c r="L65" s="941"/>
      <c r="M65" s="941"/>
      <c r="N65" s="941"/>
      <c r="O65" s="941"/>
      <c r="P65" s="941"/>
      <c r="Q65" s="875">
        <f t="shared" si="18"/>
        <v>4.4281940000000006E-2</v>
      </c>
    </row>
    <row r="66" spans="1:20" s="99" customFormat="1">
      <c r="A66" s="859" t="s">
        <v>163</v>
      </c>
      <c r="B66" s="939"/>
      <c r="C66" s="939"/>
      <c r="D66" s="875">
        <v>68.062839769999982</v>
      </c>
      <c r="E66" s="941">
        <v>0.20532489000000134</v>
      </c>
      <c r="F66" s="941">
        <v>15.75190461</v>
      </c>
      <c r="G66" s="941">
        <v>0.38286120999999895</v>
      </c>
      <c r="H66" s="941">
        <v>1.8780849700000004</v>
      </c>
      <c r="I66" s="941">
        <v>2.6113701899999997</v>
      </c>
      <c r="J66" s="941">
        <v>1.1385252899999998</v>
      </c>
      <c r="K66" s="875"/>
      <c r="L66" s="875"/>
      <c r="M66" s="875"/>
      <c r="N66" s="875"/>
      <c r="O66" s="875"/>
      <c r="P66" s="875"/>
      <c r="Q66" s="875">
        <f t="shared" si="18"/>
        <v>21.968071160000001</v>
      </c>
    </row>
    <row r="67" spans="1:20" s="99" customFormat="1" ht="21.75" customHeight="1">
      <c r="A67" s="866" t="s">
        <v>165</v>
      </c>
      <c r="B67" s="876"/>
      <c r="C67" s="876">
        <v>71.099999999999994</v>
      </c>
      <c r="D67" s="875">
        <v>98.426566470000012</v>
      </c>
      <c r="E67" s="875">
        <f>SUM(E65:E66)</f>
        <v>0.20532489000000134</v>
      </c>
      <c r="F67" s="875">
        <f t="shared" ref="F67:G67" si="20">SUM(F65:F66)</f>
        <v>15.75190461</v>
      </c>
      <c r="G67" s="875">
        <f t="shared" si="20"/>
        <v>0.38286120999999895</v>
      </c>
      <c r="H67" s="875">
        <f>SUM(H65:H66)</f>
        <v>1.8780849700000004</v>
      </c>
      <c r="I67" s="875">
        <f t="shared" ref="I67:J67" si="21">SUM(I65:I66)</f>
        <v>2.6367701499999998</v>
      </c>
      <c r="J67" s="875">
        <f t="shared" si="21"/>
        <v>1.1574072699999998</v>
      </c>
      <c r="K67" s="875"/>
      <c r="L67" s="875"/>
      <c r="M67" s="875"/>
      <c r="N67" s="875"/>
      <c r="O67" s="875"/>
      <c r="P67" s="875"/>
      <c r="Q67" s="875">
        <f t="shared" si="18"/>
        <v>22.012353100000002</v>
      </c>
    </row>
    <row r="68" spans="1:20" s="99" customFormat="1" ht="34.5" customHeight="1">
      <c r="A68" s="866" t="s">
        <v>333</v>
      </c>
      <c r="B68" s="860"/>
      <c r="C68" s="860"/>
      <c r="D68" s="944">
        <f>D67/D64</f>
        <v>0.72335094223027208</v>
      </c>
      <c r="E68" s="944">
        <f>E67/E64</f>
        <v>146.66063571428668</v>
      </c>
      <c r="F68" s="944">
        <f t="shared" ref="F68:J68" si="22">F67/F64</f>
        <v>13.191871438170002</v>
      </c>
      <c r="G68" s="944" t="e">
        <f t="shared" si="22"/>
        <v>#DIV/0!</v>
      </c>
      <c r="H68" s="944">
        <f t="shared" si="22"/>
        <v>53.738935301878698</v>
      </c>
      <c r="I68" s="944">
        <f t="shared" si="22"/>
        <v>0.25089903452305795</v>
      </c>
      <c r="J68" s="944">
        <f t="shared" si="22"/>
        <v>0.40579918453318353</v>
      </c>
      <c r="K68" s="944"/>
      <c r="L68" s="944"/>
      <c r="M68" s="944"/>
      <c r="N68" s="944"/>
      <c r="O68" s="944"/>
      <c r="P68" s="944"/>
      <c r="Q68" s="917">
        <f>Q67/Q64</f>
        <v>1.5085359585456639</v>
      </c>
      <c r="T68" s="945"/>
    </row>
    <row r="69" spans="1:20" s="93" customFormat="1" ht="37.5" customHeight="1">
      <c r="A69" s="1100" t="s">
        <v>335</v>
      </c>
      <c r="B69" s="1101"/>
      <c r="C69" s="1101"/>
      <c r="D69" s="1102"/>
      <c r="E69" s="1102"/>
      <c r="F69" s="1102"/>
      <c r="G69" s="1102"/>
      <c r="H69" s="1102"/>
      <c r="I69" s="1102"/>
      <c r="J69" s="1102"/>
      <c r="K69" s="1102"/>
      <c r="L69" s="1102"/>
      <c r="M69" s="1102"/>
      <c r="N69" s="1102"/>
      <c r="O69" s="1102"/>
      <c r="P69" s="1102"/>
      <c r="Q69" s="1103"/>
    </row>
    <row r="70" spans="1:20" s="93" customFormat="1" ht="27.75" customHeight="1">
      <c r="A70" s="99"/>
      <c r="B70" s="99"/>
      <c r="C70" s="99"/>
      <c r="D70" s="99"/>
      <c r="E70" s="99"/>
      <c r="F70" s="99"/>
      <c r="G70" s="99"/>
      <c r="H70" s="99"/>
      <c r="I70" s="99"/>
      <c r="J70" s="99"/>
      <c r="K70" s="99"/>
      <c r="L70" s="99"/>
      <c r="M70" s="99"/>
      <c r="N70" s="99"/>
      <c r="O70" s="99"/>
      <c r="P70" s="99"/>
      <c r="Q70" s="99"/>
    </row>
    <row r="71" spans="1:20" s="93" customFormat="1" ht="12">
      <c r="A71" s="99"/>
      <c r="B71" s="99"/>
      <c r="C71" s="99"/>
      <c r="D71" s="99"/>
      <c r="E71" s="99"/>
      <c r="F71" s="99"/>
      <c r="G71" s="99"/>
      <c r="H71" s="99"/>
      <c r="I71" s="99"/>
      <c r="J71" s="99"/>
      <c r="K71" s="99"/>
      <c r="L71" s="99"/>
      <c r="M71" s="99"/>
      <c r="N71" s="99"/>
      <c r="O71" s="99"/>
      <c r="P71" s="99"/>
      <c r="Q71" s="99"/>
    </row>
    <row r="72" spans="1:20" s="93" customFormat="1" ht="12">
      <c r="A72" s="99"/>
      <c r="B72" s="99"/>
      <c r="C72" s="99"/>
      <c r="D72" s="99"/>
      <c r="E72" s="99"/>
      <c r="F72" s="99"/>
      <c r="G72" s="99"/>
      <c r="H72" s="99"/>
      <c r="I72" s="99"/>
      <c r="J72" s="99"/>
      <c r="K72" s="99"/>
      <c r="L72" s="99"/>
      <c r="M72" s="99"/>
      <c r="N72" s="99"/>
      <c r="O72" s="99"/>
      <c r="P72" s="99"/>
      <c r="Q72" s="99"/>
    </row>
    <row r="73" spans="1:20" s="93" customFormat="1" ht="12"/>
    <row r="74" spans="1:20" s="99" customFormat="1" ht="12">
      <c r="A74" s="93"/>
      <c r="B74" s="93"/>
      <c r="C74" s="93"/>
      <c r="D74" s="93"/>
      <c r="E74" s="93"/>
      <c r="F74" s="93"/>
      <c r="G74" s="93"/>
      <c r="H74" s="93"/>
      <c r="I74" s="93"/>
      <c r="J74" s="93"/>
      <c r="K74" s="93"/>
      <c r="L74" s="93"/>
      <c r="M74" s="93"/>
      <c r="N74" s="93"/>
      <c r="O74" s="93"/>
      <c r="P74" s="93"/>
      <c r="Q74" s="93"/>
    </row>
    <row r="75" spans="1:20" s="99" customFormat="1" ht="12">
      <c r="A75" s="93"/>
      <c r="B75" s="93"/>
      <c r="C75" s="93"/>
      <c r="D75" s="93"/>
      <c r="E75" s="93"/>
      <c r="F75" s="93"/>
      <c r="G75" s="93"/>
      <c r="H75" s="93"/>
      <c r="I75" s="93"/>
      <c r="J75" s="93"/>
      <c r="K75" s="93"/>
      <c r="L75" s="93"/>
      <c r="M75" s="93"/>
      <c r="N75" s="93"/>
      <c r="O75" s="93"/>
      <c r="P75" s="93"/>
      <c r="Q75" s="93"/>
    </row>
    <row r="76" spans="1:20" s="99" customFormat="1" ht="12">
      <c r="A76" s="93"/>
      <c r="B76" s="93"/>
      <c r="C76" s="93"/>
      <c r="D76" s="93"/>
      <c r="E76" s="93"/>
      <c r="F76" s="93"/>
      <c r="G76" s="93"/>
      <c r="H76" s="93"/>
      <c r="I76" s="93"/>
      <c r="J76" s="93"/>
      <c r="K76" s="93"/>
      <c r="L76" s="93"/>
      <c r="M76" s="93"/>
      <c r="N76" s="93"/>
      <c r="O76" s="93"/>
      <c r="P76" s="93"/>
      <c r="Q76" s="93"/>
    </row>
    <row r="77" spans="1:20" s="99" customFormat="1" ht="23.25" customHeight="1">
      <c r="A77" s="93"/>
      <c r="B77" s="93"/>
      <c r="C77" s="93"/>
      <c r="D77" s="93"/>
      <c r="E77" s="93"/>
      <c r="F77" s="93"/>
      <c r="G77" s="93"/>
      <c r="H77" s="93"/>
      <c r="I77" s="93"/>
      <c r="J77" s="93"/>
      <c r="K77" s="93"/>
      <c r="L77" s="93"/>
      <c r="M77" s="93"/>
      <c r="N77" s="93"/>
      <c r="O77" s="93"/>
      <c r="P77" s="93"/>
      <c r="Q77" s="93"/>
    </row>
    <row r="78" spans="1:20" s="99" customFormat="1" ht="19.5" customHeight="1"/>
    <row r="79" spans="1:20" s="99" customFormat="1" ht="19.5" customHeight="1"/>
    <row r="80" spans="1:20" s="99" customFormat="1" ht="26.25" customHeight="1"/>
    <row r="81" spans="1:17" s="99" customFormat="1" ht="19.5" customHeight="1"/>
    <row r="82" spans="1:17" s="99" customFormat="1" ht="19.5" customHeight="1"/>
    <row r="83" spans="1:17" ht="36" customHeight="1">
      <c r="A83" s="99"/>
      <c r="B83" s="99"/>
      <c r="C83" s="99"/>
      <c r="D83" s="99"/>
      <c r="E83" s="99"/>
      <c r="F83" s="99"/>
      <c r="G83" s="99"/>
      <c r="H83" s="99"/>
      <c r="I83" s="99"/>
      <c r="J83" s="99"/>
      <c r="K83" s="99"/>
      <c r="L83" s="99"/>
      <c r="M83" s="99"/>
      <c r="N83" s="99"/>
      <c r="O83" s="99"/>
      <c r="P83" s="99"/>
      <c r="Q83" s="99"/>
    </row>
    <row r="84" spans="1:17" ht="36" customHeight="1">
      <c r="A84" s="99"/>
      <c r="B84" s="99"/>
      <c r="C84" s="99"/>
      <c r="D84" s="99"/>
      <c r="E84" s="99"/>
      <c r="F84" s="99"/>
      <c r="G84" s="99"/>
      <c r="H84" s="99"/>
      <c r="I84" s="99"/>
      <c r="J84" s="99"/>
      <c r="K84" s="99"/>
      <c r="L84" s="99"/>
      <c r="M84" s="99"/>
      <c r="N84" s="99"/>
      <c r="O84" s="99"/>
      <c r="P84" s="99"/>
      <c r="Q84" s="99"/>
    </row>
    <row r="85" spans="1:17" ht="36" customHeight="1">
      <c r="A85" s="99"/>
      <c r="B85" s="99"/>
      <c r="C85" s="99"/>
      <c r="D85" s="99"/>
      <c r="E85" s="99"/>
      <c r="F85" s="99"/>
      <c r="G85" s="99"/>
      <c r="H85" s="99"/>
      <c r="I85" s="99"/>
      <c r="J85" s="99"/>
      <c r="K85" s="99"/>
      <c r="L85" s="99"/>
      <c r="M85" s="99"/>
      <c r="N85" s="99"/>
      <c r="O85" s="99"/>
      <c r="P85" s="99"/>
      <c r="Q85" s="99"/>
    </row>
    <row r="86" spans="1:17" ht="36" customHeight="1">
      <c r="A86" s="99"/>
      <c r="B86" s="99"/>
      <c r="C86" s="99"/>
      <c r="D86" s="99"/>
      <c r="E86" s="99"/>
      <c r="F86" s="99"/>
      <c r="G86" s="99"/>
      <c r="H86" s="99"/>
      <c r="I86" s="99"/>
      <c r="J86" s="99"/>
      <c r="K86" s="99"/>
      <c r="L86" s="99"/>
      <c r="M86" s="99"/>
      <c r="N86" s="99"/>
      <c r="O86" s="99"/>
      <c r="P86" s="99"/>
      <c r="Q86" s="99"/>
    </row>
  </sheetData>
  <mergeCells count="26">
    <mergeCell ref="A3:Q3"/>
    <mergeCell ref="A4:A5"/>
    <mergeCell ref="B4:B5"/>
    <mergeCell ref="C4:C5"/>
    <mergeCell ref="D4:D5"/>
    <mergeCell ref="E4:Q4"/>
    <mergeCell ref="A38:Q38"/>
    <mergeCell ref="A6:Q6"/>
    <mergeCell ref="A7:Q7"/>
    <mergeCell ref="A21:Q21"/>
    <mergeCell ref="A24:Q24"/>
    <mergeCell ref="D32:Q32"/>
    <mergeCell ref="A33:Q33"/>
    <mergeCell ref="A36:A37"/>
    <mergeCell ref="B36:B37"/>
    <mergeCell ref="C36:C37"/>
    <mergeCell ref="D36:D37"/>
    <mergeCell ref="E36:Q36"/>
    <mergeCell ref="A56:Q56"/>
    <mergeCell ref="A69:Q69"/>
    <mergeCell ref="A39:Q39"/>
    <mergeCell ref="A54:A55"/>
    <mergeCell ref="B54:B55"/>
    <mergeCell ref="C54:C55"/>
    <mergeCell ref="D54:D55"/>
    <mergeCell ref="E54:Q54"/>
  </mergeCells>
  <pageMargins left="0.70866141732283472" right="0.70866141732283472" top="0.74803149606299213" bottom="0.74803149606299213" header="0.31496062992125984" footer="0.31496062992125984"/>
  <pageSetup paperSize="9" scale="63" fitToHeight="0" orientation="landscape" r:id="rId1"/>
  <headerFooter>
    <oddFooter>&amp;R&amp;A</oddFooter>
  </headerFooter>
  <rowBreaks count="1" manualBreakCount="1">
    <brk id="35"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35"/>
  <sheetViews>
    <sheetView view="pageBreakPreview" zoomScaleNormal="100" zoomScaleSheetLayoutView="100" zoomScalePageLayoutView="30" workbookViewId="0">
      <selection activeCell="A4" sqref="A4:Q4"/>
    </sheetView>
  </sheetViews>
  <sheetFormatPr defaultColWidth="9.140625" defaultRowHeight="36" customHeight="1"/>
  <cols>
    <col min="1" max="1" width="70.5703125" style="141" customWidth="1"/>
    <col min="2" max="2" width="7.42578125" style="141" customWidth="1"/>
    <col min="3" max="3" width="7.7109375" style="141" customWidth="1"/>
    <col min="4" max="4" width="8" style="55" customWidth="1"/>
    <col min="5" max="5" width="8" style="30" customWidth="1"/>
    <col min="6" max="9" width="8" style="29" customWidth="1"/>
    <col min="10" max="10" width="9.7109375" style="29" customWidth="1"/>
    <col min="11" max="16" width="8" style="29" customWidth="1"/>
    <col min="17" max="17" width="8.85546875" style="29" customWidth="1"/>
    <col min="18" max="16384" width="9.140625" style="138"/>
  </cols>
  <sheetData>
    <row r="1" spans="1:17" s="133" customFormat="1" ht="12.75" customHeight="1">
      <c r="A1" s="673" t="s">
        <v>18</v>
      </c>
      <c r="B1" s="673"/>
      <c r="C1" s="673"/>
      <c r="D1" s="54"/>
      <c r="E1" s="23"/>
      <c r="F1" s="22"/>
      <c r="G1" s="22"/>
      <c r="H1" s="22"/>
      <c r="I1" s="22"/>
      <c r="J1" s="22"/>
      <c r="K1" s="22"/>
      <c r="L1" s="22"/>
      <c r="M1" s="22"/>
      <c r="N1" s="22"/>
      <c r="O1" s="22"/>
      <c r="P1" s="22"/>
      <c r="Q1" s="22"/>
    </row>
    <row r="2" spans="1:17" s="133" customFormat="1" ht="12.75" customHeight="1">
      <c r="A2" s="673" t="s">
        <v>19</v>
      </c>
      <c r="B2" s="673"/>
      <c r="C2" s="673"/>
      <c r="D2" s="54"/>
      <c r="E2" s="23"/>
      <c r="F2" s="22"/>
      <c r="G2" s="22"/>
      <c r="H2" s="22"/>
      <c r="I2" s="22"/>
      <c r="J2" s="22"/>
      <c r="K2" s="22"/>
      <c r="L2" s="22"/>
      <c r="M2" s="22"/>
      <c r="N2" s="22"/>
      <c r="O2" s="22"/>
      <c r="P2" s="22"/>
      <c r="Q2" s="22"/>
    </row>
    <row r="3" spans="1:17" s="133" customFormat="1" ht="12.75" customHeight="1">
      <c r="A3" s="673"/>
      <c r="B3" s="673"/>
      <c r="C3" s="673"/>
      <c r="D3" s="54"/>
      <c r="E3" s="23"/>
      <c r="F3" s="22"/>
      <c r="G3" s="22"/>
      <c r="H3" s="22"/>
      <c r="I3" s="22"/>
      <c r="J3" s="22"/>
      <c r="K3" s="22"/>
      <c r="L3" s="22"/>
      <c r="M3" s="22"/>
      <c r="N3" s="22"/>
      <c r="O3" s="22"/>
      <c r="P3" s="22"/>
      <c r="Q3" s="22"/>
    </row>
    <row r="4" spans="1:17" s="133" customFormat="1" ht="19.5" customHeight="1">
      <c r="A4" s="1129" t="s">
        <v>358</v>
      </c>
      <c r="B4" s="1129"/>
      <c r="C4" s="1129"/>
      <c r="D4" s="1129"/>
      <c r="E4" s="1129"/>
      <c r="F4" s="1129"/>
      <c r="G4" s="1129"/>
      <c r="H4" s="1129"/>
      <c r="I4" s="1129"/>
      <c r="J4" s="1129"/>
      <c r="K4" s="1129"/>
      <c r="L4" s="1129"/>
      <c r="M4" s="1129"/>
      <c r="N4" s="1129"/>
      <c r="O4" s="1129"/>
      <c r="P4" s="1129"/>
      <c r="Q4" s="1129"/>
    </row>
    <row r="5" spans="1:17" s="133" customFormat="1" ht="12.75" customHeight="1">
      <c r="A5" s="1126" t="s">
        <v>323</v>
      </c>
      <c r="B5" s="1108" t="s">
        <v>23</v>
      </c>
      <c r="C5" s="1108" t="s">
        <v>24</v>
      </c>
      <c r="D5" s="1108" t="s">
        <v>25</v>
      </c>
      <c r="E5" s="1130">
        <v>2016</v>
      </c>
      <c r="F5" s="1131"/>
      <c r="G5" s="1131"/>
      <c r="H5" s="1131"/>
      <c r="I5" s="1131"/>
      <c r="J5" s="1131"/>
      <c r="K5" s="1131"/>
      <c r="L5" s="1131"/>
      <c r="M5" s="1131"/>
      <c r="N5" s="1131"/>
      <c r="O5" s="1131"/>
      <c r="P5" s="1131"/>
      <c r="Q5" s="1131"/>
    </row>
    <row r="6" spans="1:17" s="133" customFormat="1" ht="24.75" customHeight="1">
      <c r="A6" s="1092"/>
      <c r="B6" s="1086"/>
      <c r="C6" s="1086"/>
      <c r="D6" s="1086"/>
      <c r="E6" s="689" t="s">
        <v>26</v>
      </c>
      <c r="F6" s="689" t="s">
        <v>27</v>
      </c>
      <c r="G6" s="689" t="s">
        <v>28</v>
      </c>
      <c r="H6" s="689" t="s">
        <v>29</v>
      </c>
      <c r="I6" s="689" t="s">
        <v>30</v>
      </c>
      <c r="J6" s="689" t="s">
        <v>31</v>
      </c>
      <c r="K6" s="689" t="s">
        <v>32</v>
      </c>
      <c r="L6" s="689" t="s">
        <v>33</v>
      </c>
      <c r="M6" s="689" t="s">
        <v>34</v>
      </c>
      <c r="N6" s="689" t="s">
        <v>35</v>
      </c>
      <c r="O6" s="689" t="s">
        <v>36</v>
      </c>
      <c r="P6" s="689" t="s">
        <v>37</v>
      </c>
      <c r="Q6" s="948" t="s">
        <v>38</v>
      </c>
    </row>
    <row r="7" spans="1:17" s="133" customFormat="1" ht="30" customHeight="1">
      <c r="A7" s="1132" t="s">
        <v>172</v>
      </c>
      <c r="B7" s="1132"/>
      <c r="C7" s="1132"/>
      <c r="D7" s="1132"/>
      <c r="E7" s="1132"/>
      <c r="F7" s="1132"/>
      <c r="G7" s="1132"/>
      <c r="H7" s="1132"/>
      <c r="I7" s="1132"/>
      <c r="J7" s="1132"/>
      <c r="K7" s="1132"/>
      <c r="L7" s="1132"/>
      <c r="M7" s="1132"/>
      <c r="N7" s="1132"/>
      <c r="O7" s="1132"/>
      <c r="P7" s="1132"/>
      <c r="Q7" s="1132"/>
    </row>
    <row r="8" spans="1:17" s="135" customFormat="1" ht="26.25" customHeight="1">
      <c r="A8" s="1133" t="s">
        <v>173</v>
      </c>
      <c r="B8" s="1134"/>
      <c r="C8" s="1134"/>
      <c r="D8" s="1134"/>
      <c r="E8" s="1134"/>
      <c r="F8" s="1134"/>
      <c r="G8" s="1134"/>
      <c r="H8" s="1134"/>
      <c r="I8" s="1134"/>
      <c r="J8" s="1134"/>
      <c r="K8" s="1134"/>
      <c r="L8" s="1134"/>
      <c r="M8" s="1134"/>
      <c r="N8" s="1134"/>
      <c r="O8" s="1134"/>
      <c r="P8" s="1134"/>
      <c r="Q8" s="1134"/>
    </row>
    <row r="9" spans="1:17" s="135" customFormat="1" ht="16.5" customHeight="1">
      <c r="A9" s="949" t="s">
        <v>182</v>
      </c>
      <c r="B9" s="949"/>
      <c r="C9" s="950"/>
      <c r="D9" s="951"/>
      <c r="E9" s="952">
        <v>4427</v>
      </c>
      <c r="F9" s="953">
        <f>E13</f>
        <v>4419</v>
      </c>
      <c r="G9" s="953">
        <f>F13</f>
        <v>4436</v>
      </c>
      <c r="H9" s="952">
        <f>G13</f>
        <v>4434</v>
      </c>
      <c r="I9" s="952">
        <f>H13</f>
        <v>4510</v>
      </c>
      <c r="J9" s="952">
        <f>I13</f>
        <v>4502</v>
      </c>
      <c r="K9" s="954"/>
      <c r="L9" s="950"/>
      <c r="M9" s="950"/>
      <c r="N9" s="950"/>
      <c r="O9" s="950"/>
      <c r="P9" s="950"/>
      <c r="Q9" s="947"/>
    </row>
    <row r="10" spans="1:17" s="135" customFormat="1" ht="16.5" customHeight="1">
      <c r="A10" s="949" t="s">
        <v>17</v>
      </c>
      <c r="B10" s="949"/>
      <c r="C10" s="950"/>
      <c r="D10" s="951"/>
      <c r="E10" s="955">
        <v>10</v>
      </c>
      <c r="F10" s="955">
        <v>38</v>
      </c>
      <c r="G10" s="955">
        <v>20</v>
      </c>
      <c r="H10" s="952">
        <v>94</v>
      </c>
      <c r="I10" s="952">
        <v>24</v>
      </c>
      <c r="J10" s="952">
        <v>55</v>
      </c>
      <c r="K10" s="954"/>
      <c r="L10" s="950"/>
      <c r="M10" s="950"/>
      <c r="N10" s="950"/>
      <c r="O10" s="950"/>
      <c r="P10" s="950"/>
      <c r="Q10" s="956">
        <f>SUM(E10:P10)</f>
        <v>241</v>
      </c>
    </row>
    <row r="11" spans="1:17" s="135" customFormat="1" ht="16.5" customHeight="1">
      <c r="A11" s="957" t="s">
        <v>175</v>
      </c>
      <c r="B11" s="957"/>
      <c r="C11" s="896">
        <v>693</v>
      </c>
      <c r="D11" s="896">
        <v>488</v>
      </c>
      <c r="E11" s="958">
        <v>18</v>
      </c>
      <c r="F11" s="959">
        <v>21</v>
      </c>
      <c r="G11" s="959">
        <v>22</v>
      </c>
      <c r="H11" s="959">
        <v>18</v>
      </c>
      <c r="I11" s="959">
        <v>32</v>
      </c>
      <c r="J11" s="959">
        <v>33</v>
      </c>
      <c r="K11" s="960"/>
      <c r="L11" s="960"/>
      <c r="M11" s="960"/>
      <c r="N11" s="960"/>
      <c r="O11" s="960"/>
      <c r="P11" s="960"/>
      <c r="Q11" s="956">
        <f>SUM(E11:P11)</f>
        <v>144</v>
      </c>
    </row>
    <row r="12" spans="1:17" s="133" customFormat="1" ht="25.5" customHeight="1">
      <c r="A12" s="949" t="s">
        <v>137</v>
      </c>
      <c r="B12" s="949"/>
      <c r="C12" s="950"/>
      <c r="D12" s="951"/>
      <c r="E12" s="955">
        <v>0</v>
      </c>
      <c r="F12" s="955">
        <v>2</v>
      </c>
      <c r="G12" s="955">
        <v>0</v>
      </c>
      <c r="H12" s="955">
        <v>2</v>
      </c>
      <c r="I12" s="955">
        <v>0</v>
      </c>
      <c r="J12" s="952">
        <v>0</v>
      </c>
      <c r="K12" s="936"/>
      <c r="L12" s="936"/>
      <c r="M12" s="936"/>
      <c r="N12" s="936"/>
      <c r="O12" s="936"/>
      <c r="P12" s="937"/>
      <c r="Q12" s="905">
        <v>4</v>
      </c>
    </row>
    <row r="13" spans="1:17" s="135" customFormat="1" ht="21.75" customHeight="1">
      <c r="A13" s="949" t="s">
        <v>177</v>
      </c>
      <c r="B13" s="949"/>
      <c r="C13" s="950"/>
      <c r="D13" s="951"/>
      <c r="E13" s="952">
        <f t="shared" ref="E13:J13" si="0">E9+E10-E11</f>
        <v>4419</v>
      </c>
      <c r="F13" s="952">
        <f t="shared" si="0"/>
        <v>4436</v>
      </c>
      <c r="G13" s="952">
        <f t="shared" si="0"/>
        <v>4434</v>
      </c>
      <c r="H13" s="952">
        <f t="shared" si="0"/>
        <v>4510</v>
      </c>
      <c r="I13" s="952">
        <f t="shared" si="0"/>
        <v>4502</v>
      </c>
      <c r="J13" s="952">
        <f t="shared" si="0"/>
        <v>4524</v>
      </c>
      <c r="K13" s="954"/>
      <c r="L13" s="950"/>
      <c r="M13" s="950"/>
      <c r="N13" s="950"/>
      <c r="O13" s="950"/>
      <c r="P13" s="950"/>
      <c r="Q13" s="947"/>
    </row>
    <row r="14" spans="1:17" s="135" customFormat="1" ht="16.5" customHeight="1">
      <c r="A14" s="949" t="s">
        <v>183</v>
      </c>
      <c r="B14" s="949"/>
      <c r="C14" s="950"/>
      <c r="D14" s="961">
        <v>416.664759</v>
      </c>
      <c r="E14" s="962">
        <v>18.873926000000001</v>
      </c>
      <c r="F14" s="962">
        <v>20.463800279999997</v>
      </c>
      <c r="G14" s="962">
        <v>12.186212000000001</v>
      </c>
      <c r="H14" s="962">
        <v>22.508165999999999</v>
      </c>
      <c r="I14" s="962">
        <v>50.330694999999999</v>
      </c>
      <c r="J14" s="962">
        <f>'[1]tax adm απόλυτες τιμές'!G36</f>
        <v>19.042600999999998</v>
      </c>
      <c r="K14" s="962"/>
      <c r="L14" s="962"/>
      <c r="M14" s="962"/>
      <c r="N14" s="962"/>
      <c r="O14" s="963"/>
      <c r="P14" s="963"/>
      <c r="Q14" s="960">
        <f t="shared" ref="Q14:Q19" si="1">SUM(E14:P14)</f>
        <v>143.40540027999998</v>
      </c>
    </row>
    <row r="15" spans="1:17" s="135" customFormat="1" ht="16.5" customHeight="1">
      <c r="A15" s="949" t="s">
        <v>184</v>
      </c>
      <c r="B15" s="949"/>
      <c r="C15" s="950"/>
      <c r="D15" s="910">
        <v>0.50854500000000002</v>
      </c>
      <c r="E15" s="962">
        <v>4.4889999999999999E-3</v>
      </c>
      <c r="F15" s="962">
        <v>1.4442E-2</v>
      </c>
      <c r="G15" s="962">
        <v>1.8265E-2</v>
      </c>
      <c r="H15" s="962">
        <v>1.1720000000000001E-3</v>
      </c>
      <c r="I15" s="962">
        <v>1.6974E-2</v>
      </c>
      <c r="J15" s="962">
        <f>'[1]tax adm απόλυτες τιμές'!G37</f>
        <v>0.103919</v>
      </c>
      <c r="K15" s="962"/>
      <c r="L15" s="962"/>
      <c r="M15" s="962"/>
      <c r="N15" s="962"/>
      <c r="O15" s="963"/>
      <c r="P15" s="963"/>
      <c r="Q15" s="960">
        <f t="shared" si="1"/>
        <v>0.15926099999999999</v>
      </c>
    </row>
    <row r="16" spans="1:17" s="135" customFormat="1" ht="16.5" customHeight="1">
      <c r="A16" s="957" t="s">
        <v>185</v>
      </c>
      <c r="B16" s="957"/>
      <c r="C16" s="689"/>
      <c r="D16" s="960">
        <v>417.17330399999997</v>
      </c>
      <c r="E16" s="960">
        <f t="shared" ref="E16:J16" si="2">SUM(E14:E15)</f>
        <v>18.878415</v>
      </c>
      <c r="F16" s="960">
        <f t="shared" si="2"/>
        <v>20.478242279999996</v>
      </c>
      <c r="G16" s="960">
        <f t="shared" si="2"/>
        <v>12.204477000000001</v>
      </c>
      <c r="H16" s="960">
        <f t="shared" si="2"/>
        <v>22.509338</v>
      </c>
      <c r="I16" s="960">
        <f t="shared" si="2"/>
        <v>50.347668999999996</v>
      </c>
      <c r="J16" s="960">
        <f t="shared" si="2"/>
        <v>19.146519999999999</v>
      </c>
      <c r="K16" s="960"/>
      <c r="L16" s="960"/>
      <c r="M16" s="960"/>
      <c r="N16" s="960"/>
      <c r="O16" s="960"/>
      <c r="P16" s="960"/>
      <c r="Q16" s="960">
        <f t="shared" si="1"/>
        <v>143.56466128</v>
      </c>
    </row>
    <row r="17" spans="1:17" s="135" customFormat="1" ht="42" customHeight="1">
      <c r="A17" s="949" t="s">
        <v>186</v>
      </c>
      <c r="B17" s="949"/>
      <c r="C17" s="950"/>
      <c r="D17" s="910"/>
      <c r="E17" s="964">
        <f>3.52828157</f>
        <v>3.5282815699999999</v>
      </c>
      <c r="F17" s="964">
        <v>0.69861982999999994</v>
      </c>
      <c r="G17" s="964">
        <v>1.7554743799999999</v>
      </c>
      <c r="H17" s="964">
        <v>1.1478476599999998</v>
      </c>
      <c r="I17" s="964">
        <v>1.5418182</v>
      </c>
      <c r="J17" s="962">
        <f>4116833.4/1000000</f>
        <v>4.1168334</v>
      </c>
      <c r="K17" s="965"/>
      <c r="L17" s="962"/>
      <c r="M17" s="962"/>
      <c r="N17" s="962"/>
      <c r="O17" s="962"/>
      <c r="P17" s="963"/>
      <c r="Q17" s="960">
        <f t="shared" si="1"/>
        <v>12.788875040000001</v>
      </c>
    </row>
    <row r="18" spans="1:17" s="135" customFormat="1" ht="42" customHeight="1">
      <c r="A18" s="949" t="s">
        <v>142</v>
      </c>
      <c r="B18" s="949"/>
      <c r="C18" s="950"/>
      <c r="D18" s="910"/>
      <c r="E18" s="964">
        <f>7.5493903+(6046.7/1000000)+(68558.22/1000000)</f>
        <v>7.6239952199999994</v>
      </c>
      <c r="F18" s="964">
        <f>3.03753024+(230914.67/1000000)+(6160.88/1000000)</f>
        <v>3.2746057900000003</v>
      </c>
      <c r="G18" s="964">
        <f>(78938.28+6052.88)/1000000+2.68394474</f>
        <v>2.7689358999999998</v>
      </c>
      <c r="H18" s="964">
        <v>0.69675205000000007</v>
      </c>
      <c r="I18" s="964">
        <v>2.6988855799999998</v>
      </c>
      <c r="J18" s="962">
        <f>4107319.66/1000000 +106617.77/1000000</f>
        <v>4.2139374299999997</v>
      </c>
      <c r="K18" s="965"/>
      <c r="L18" s="962"/>
      <c r="M18" s="962"/>
      <c r="N18" s="962"/>
      <c r="O18" s="962"/>
      <c r="P18" s="963"/>
      <c r="Q18" s="960">
        <f t="shared" si="1"/>
        <v>21.27711197</v>
      </c>
    </row>
    <row r="19" spans="1:17" s="135" customFormat="1" ht="16.5" customHeight="1">
      <c r="A19" s="957" t="s">
        <v>187</v>
      </c>
      <c r="B19" s="957"/>
      <c r="C19" s="689"/>
      <c r="D19" s="960">
        <v>63.633259540000005</v>
      </c>
      <c r="E19" s="960">
        <f t="shared" ref="E19:J19" si="3">SUM(E17:E18)</f>
        <v>11.152276789999998</v>
      </c>
      <c r="F19" s="960">
        <f t="shared" si="3"/>
        <v>3.97322562</v>
      </c>
      <c r="G19" s="960">
        <f t="shared" si="3"/>
        <v>4.5244102799999997</v>
      </c>
      <c r="H19" s="960">
        <f t="shared" si="3"/>
        <v>1.8445997099999998</v>
      </c>
      <c r="I19" s="960">
        <f t="shared" si="3"/>
        <v>4.2407037799999996</v>
      </c>
      <c r="J19" s="960">
        <f t="shared" si="3"/>
        <v>8.3307708299999987</v>
      </c>
      <c r="K19" s="960"/>
      <c r="L19" s="960"/>
      <c r="M19" s="960"/>
      <c r="N19" s="960"/>
      <c r="O19" s="960"/>
      <c r="P19" s="960"/>
      <c r="Q19" s="960">
        <f t="shared" si="1"/>
        <v>34.065987010000001</v>
      </c>
    </row>
    <row r="20" spans="1:17" s="161" customFormat="1" ht="23.25" customHeight="1">
      <c r="A20" s="966" t="s">
        <v>336</v>
      </c>
      <c r="B20" s="966"/>
      <c r="C20" s="967"/>
      <c r="D20" s="968">
        <f t="shared" ref="D20:J20" si="4">D19/D16</f>
        <v>0.15253435186255351</v>
      </c>
      <c r="E20" s="969">
        <f t="shared" si="4"/>
        <v>0.59074222014930799</v>
      </c>
      <c r="F20" s="969">
        <f t="shared" si="4"/>
        <v>0.19402180937572153</v>
      </c>
      <c r="G20" s="969">
        <f t="shared" si="4"/>
        <v>0.3707172605593832</v>
      </c>
      <c r="H20" s="969">
        <f t="shared" si="4"/>
        <v>8.194819900967322E-2</v>
      </c>
      <c r="I20" s="969">
        <f t="shared" si="4"/>
        <v>8.4228403503645813E-2</v>
      </c>
      <c r="J20" s="969">
        <f t="shared" si="4"/>
        <v>0.43510626630844662</v>
      </c>
      <c r="K20" s="970"/>
      <c r="L20" s="970"/>
      <c r="M20" s="970"/>
      <c r="N20" s="970"/>
      <c r="O20" s="970"/>
      <c r="P20" s="970"/>
      <c r="Q20" s="970">
        <f>Q19/Q16</f>
        <v>0.23728671600847315</v>
      </c>
    </row>
    <row r="21" spans="1:17" s="135" customFormat="1" ht="24.75" customHeight="1">
      <c r="A21" s="196"/>
      <c r="B21" s="197"/>
      <c r="C21" s="197"/>
      <c r="D21" s="198"/>
      <c r="E21" s="199"/>
      <c r="F21" s="199"/>
      <c r="G21" s="199"/>
      <c r="H21" s="199"/>
      <c r="I21" s="199"/>
      <c r="J21" s="199"/>
      <c r="K21" s="199"/>
      <c r="L21" s="199"/>
      <c r="M21" s="199"/>
      <c r="N21" s="199"/>
      <c r="O21" s="199"/>
      <c r="P21" s="199"/>
      <c r="Q21" s="200"/>
    </row>
    <row r="22" spans="1:17" s="136" customFormat="1" ht="21" customHeight="1">
      <c r="A22" s="1116" t="s">
        <v>325</v>
      </c>
      <c r="B22" s="1116"/>
      <c r="C22" s="1116"/>
      <c r="D22" s="1117"/>
      <c r="E22" s="1117"/>
      <c r="F22" s="1117"/>
      <c r="G22" s="1117"/>
      <c r="H22" s="1117"/>
      <c r="I22" s="1117"/>
      <c r="J22" s="1117"/>
      <c r="K22" s="1117"/>
      <c r="L22" s="1117"/>
      <c r="M22" s="1117"/>
      <c r="N22" s="1117"/>
      <c r="O22" s="1117"/>
      <c r="P22" s="1117"/>
      <c r="Q22" s="1118"/>
    </row>
    <row r="23" spans="1:17" s="136" customFormat="1" ht="15.75" customHeight="1">
      <c r="A23" s="949" t="s">
        <v>188</v>
      </c>
      <c r="B23" s="949"/>
      <c r="C23" s="949"/>
      <c r="D23" s="971">
        <v>69</v>
      </c>
      <c r="E23" s="972">
        <v>18</v>
      </c>
      <c r="F23" s="972">
        <v>6</v>
      </c>
      <c r="G23" s="972">
        <v>3</v>
      </c>
      <c r="H23" s="972">
        <v>5</v>
      </c>
      <c r="I23" s="972">
        <v>6</v>
      </c>
      <c r="J23" s="972">
        <v>15</v>
      </c>
      <c r="K23" s="972"/>
      <c r="L23" s="972"/>
      <c r="M23" s="972"/>
      <c r="N23" s="972"/>
      <c r="O23" s="972"/>
      <c r="P23" s="973"/>
      <c r="Q23" s="974">
        <f>SUM(E23:P23)</f>
        <v>53</v>
      </c>
    </row>
    <row r="24" spans="1:17" s="137" customFormat="1" ht="15" customHeight="1">
      <c r="A24" s="975"/>
      <c r="B24" s="975"/>
      <c r="C24" s="975"/>
      <c r="D24" s="976"/>
      <c r="E24" s="977"/>
      <c r="F24" s="977"/>
      <c r="G24" s="977"/>
      <c r="H24" s="977"/>
      <c r="I24" s="977"/>
      <c r="J24" s="977"/>
      <c r="K24" s="977"/>
      <c r="L24" s="977"/>
      <c r="M24" s="977"/>
      <c r="N24" s="977"/>
      <c r="O24" s="977"/>
      <c r="P24" s="977"/>
      <c r="Q24" s="978"/>
    </row>
    <row r="25" spans="1:17" s="136" customFormat="1" ht="15" customHeight="1">
      <c r="A25" s="1135" t="s">
        <v>189</v>
      </c>
      <c r="B25" s="1135"/>
      <c r="C25" s="1135"/>
      <c r="D25" s="1136"/>
      <c r="E25" s="1136"/>
      <c r="F25" s="1136"/>
      <c r="G25" s="1136"/>
      <c r="H25" s="1136"/>
      <c r="I25" s="1136"/>
      <c r="J25" s="1136"/>
      <c r="K25" s="1136"/>
      <c r="L25" s="1136"/>
      <c r="M25" s="1136"/>
      <c r="N25" s="1136"/>
      <c r="O25" s="1136"/>
      <c r="P25" s="1136"/>
      <c r="Q25" s="1136"/>
    </row>
    <row r="26" spans="1:17" s="136" customFormat="1" ht="30.75" customHeight="1">
      <c r="A26" s="949" t="s">
        <v>190</v>
      </c>
      <c r="B26" s="949"/>
      <c r="C26" s="949"/>
      <c r="D26" s="979"/>
      <c r="E26" s="952">
        <v>1438</v>
      </c>
      <c r="F26" s="953">
        <f>E29</f>
        <v>1433</v>
      </c>
      <c r="G26" s="953">
        <f>F29</f>
        <v>1448</v>
      </c>
      <c r="H26" s="952">
        <f>G29</f>
        <v>1453</v>
      </c>
      <c r="I26" s="952">
        <f>H29</f>
        <v>1535</v>
      </c>
      <c r="J26" s="952">
        <f>I29</f>
        <v>1539</v>
      </c>
      <c r="K26" s="979"/>
      <c r="L26" s="979"/>
      <c r="M26" s="979"/>
      <c r="N26" s="979"/>
      <c r="O26" s="979"/>
      <c r="P26" s="979"/>
      <c r="Q26" s="947"/>
    </row>
    <row r="27" spans="1:17" ht="12">
      <c r="A27" s="949" t="s">
        <v>193</v>
      </c>
      <c r="B27" s="949"/>
      <c r="C27" s="949"/>
      <c r="D27" s="976"/>
      <c r="E27" s="955">
        <v>9</v>
      </c>
      <c r="F27" s="955">
        <v>32</v>
      </c>
      <c r="G27" s="955">
        <v>20</v>
      </c>
      <c r="H27" s="952">
        <v>93</v>
      </c>
      <c r="I27" s="952">
        <v>24</v>
      </c>
      <c r="J27" s="980">
        <v>52</v>
      </c>
      <c r="K27" s="977"/>
      <c r="L27" s="977"/>
      <c r="M27" s="977"/>
      <c r="N27" s="977"/>
      <c r="O27" s="977"/>
      <c r="P27" s="977"/>
      <c r="Q27" s="956">
        <f>SUM(E27:P27)</f>
        <v>230</v>
      </c>
    </row>
    <row r="28" spans="1:17" s="139" customFormat="1" ht="18" customHeight="1">
      <c r="A28" s="957" t="s">
        <v>194</v>
      </c>
      <c r="B28" s="957"/>
      <c r="C28" s="957"/>
      <c r="D28" s="976"/>
      <c r="E28" s="958">
        <v>14</v>
      </c>
      <c r="F28" s="959">
        <v>17</v>
      </c>
      <c r="G28" s="959">
        <v>15</v>
      </c>
      <c r="H28" s="959">
        <v>11</v>
      </c>
      <c r="I28" s="959">
        <v>20</v>
      </c>
      <c r="J28" s="959">
        <f>'[1]tax adm απόλυτες τιμές'!G15</f>
        <v>25</v>
      </c>
      <c r="K28" s="977"/>
      <c r="L28" s="977"/>
      <c r="M28" s="977"/>
      <c r="N28" s="977"/>
      <c r="O28" s="977"/>
      <c r="P28" s="977"/>
      <c r="Q28" s="956">
        <f>SUM(E28:P28)</f>
        <v>102</v>
      </c>
    </row>
    <row r="29" spans="1:17" ht="36" customHeight="1">
      <c r="A29" s="949" t="s">
        <v>195</v>
      </c>
      <c r="B29" s="949"/>
      <c r="C29" s="949"/>
      <c r="D29" s="976"/>
      <c r="E29" s="955">
        <f t="shared" ref="E29:J29" si="5">E26+E27-E28</f>
        <v>1433</v>
      </c>
      <c r="F29" s="955">
        <f t="shared" si="5"/>
        <v>1448</v>
      </c>
      <c r="G29" s="955">
        <f t="shared" si="5"/>
        <v>1453</v>
      </c>
      <c r="H29" s="955">
        <f t="shared" si="5"/>
        <v>1535</v>
      </c>
      <c r="I29" s="955">
        <f t="shared" si="5"/>
        <v>1539</v>
      </c>
      <c r="J29" s="955">
        <f t="shared" si="5"/>
        <v>1566</v>
      </c>
      <c r="K29" s="977"/>
      <c r="L29" s="977"/>
      <c r="M29" s="977"/>
      <c r="N29" s="977"/>
      <c r="O29" s="977"/>
      <c r="P29" s="977"/>
      <c r="Q29" s="947"/>
    </row>
    <row r="30" spans="1:17" ht="36" customHeight="1">
      <c r="A30" s="957" t="s">
        <v>22</v>
      </c>
      <c r="B30" s="957"/>
      <c r="C30" s="957"/>
      <c r="D30" s="976"/>
      <c r="E30" s="962">
        <v>9.1699979999999996</v>
      </c>
      <c r="F30" s="962">
        <v>20.009987279999997</v>
      </c>
      <c r="G30" s="962">
        <v>9.7894880000000004</v>
      </c>
      <c r="H30" s="962">
        <v>20.906347</v>
      </c>
      <c r="I30" s="962">
        <v>29.039531</v>
      </c>
      <c r="J30" s="962">
        <f>'[1]tax adm απόλυτες τιμές'!G19</f>
        <v>8.8240590000000001</v>
      </c>
      <c r="K30" s="977"/>
      <c r="L30" s="977"/>
      <c r="M30" s="977"/>
      <c r="N30" s="977"/>
      <c r="O30" s="977"/>
      <c r="P30" s="977"/>
      <c r="Q30" s="960">
        <f>SUM(E30:P30)</f>
        <v>97.739410280000001</v>
      </c>
    </row>
    <row r="31" spans="1:17" ht="36" customHeight="1">
      <c r="A31" s="957" t="s">
        <v>21</v>
      </c>
      <c r="B31" s="957"/>
      <c r="C31" s="957"/>
      <c r="D31" s="976"/>
      <c r="E31" s="962">
        <f>(1198929.7+52642.89+8605044.58)/1000000</f>
        <v>9.8566171699999998</v>
      </c>
      <c r="F31" s="962">
        <f>(1342853.63+1049082.4)/1000000</f>
        <v>2.3919360299999997</v>
      </c>
      <c r="G31" s="962">
        <f>(1914518.88+11191.8+59187.28)/1000000</f>
        <v>1.9848979600000001</v>
      </c>
      <c r="H31" s="962">
        <f>(916780.49+586.3+66468.5)/1000000</f>
        <v>0.98383529000000003</v>
      </c>
      <c r="I31" s="962">
        <f>(865825.06+202651.61+2128677.91)/1000000</f>
        <v>3.1971545799999999</v>
      </c>
      <c r="J31" s="962">
        <v>5.4781925499999993</v>
      </c>
      <c r="K31" s="977"/>
      <c r="L31" s="977"/>
      <c r="M31" s="977"/>
      <c r="N31" s="977"/>
      <c r="O31" s="977"/>
      <c r="P31" s="977"/>
      <c r="Q31" s="960">
        <f>SUM(E31:P31)</f>
        <v>23.892633579999998</v>
      </c>
    </row>
    <row r="32" spans="1:17" ht="12">
      <c r="A32" s="673" t="s">
        <v>191</v>
      </c>
      <c r="B32" s="673"/>
      <c r="C32" s="673"/>
      <c r="D32" s="140"/>
      <c r="E32" s="140"/>
      <c r="F32" s="140"/>
      <c r="G32" s="140"/>
      <c r="H32" s="140"/>
      <c r="I32" s="140"/>
      <c r="J32" s="140"/>
      <c r="K32" s="140"/>
      <c r="L32" s="140"/>
      <c r="M32" s="140"/>
      <c r="N32" s="140"/>
      <c r="O32" s="140"/>
      <c r="P32" s="140"/>
      <c r="Q32" s="140"/>
    </row>
    <row r="33" spans="1:17" ht="12">
      <c r="A33" s="1137" t="s">
        <v>149</v>
      </c>
      <c r="B33" s="1137"/>
      <c r="C33" s="1137"/>
      <c r="D33" s="1137"/>
      <c r="E33" s="1137"/>
      <c r="F33" s="1137"/>
      <c r="G33" s="1137"/>
      <c r="H33" s="1137"/>
      <c r="I33" s="1137"/>
      <c r="J33" s="1137"/>
      <c r="K33" s="1137"/>
      <c r="L33" s="1137"/>
      <c r="M33" s="1137"/>
      <c r="N33" s="1137"/>
      <c r="O33" s="1137"/>
      <c r="P33" s="1137"/>
      <c r="Q33" s="1137"/>
    </row>
    <row r="34" spans="1:17" ht="13.5" customHeight="1">
      <c r="A34" s="856" t="s">
        <v>150</v>
      </c>
      <c r="B34" s="856"/>
      <c r="C34" s="856"/>
      <c r="D34" s="856"/>
      <c r="E34" s="856"/>
      <c r="F34" s="856"/>
      <c r="G34" s="856"/>
      <c r="H34" s="856"/>
      <c r="I34" s="856"/>
      <c r="J34" s="856"/>
      <c r="K34" s="856"/>
      <c r="L34" s="856"/>
      <c r="M34" s="856"/>
      <c r="N34" s="856"/>
      <c r="O34" s="856"/>
      <c r="P34" s="856"/>
      <c r="Q34" s="856"/>
    </row>
    <row r="35" spans="1:17" ht="29.25" customHeight="1">
      <c r="A35" s="1128" t="s">
        <v>337</v>
      </c>
      <c r="B35" s="1128"/>
      <c r="C35" s="1128"/>
      <c r="D35" s="1128"/>
      <c r="E35" s="1128"/>
      <c r="F35" s="1128"/>
      <c r="G35" s="1128"/>
      <c r="H35" s="1128"/>
      <c r="I35" s="1128"/>
      <c r="J35" s="1128"/>
      <c r="K35" s="1128"/>
      <c r="L35" s="1128"/>
      <c r="M35" s="1128"/>
      <c r="N35" s="1128"/>
      <c r="O35" s="1128"/>
      <c r="P35" s="1128"/>
      <c r="Q35" s="1128"/>
    </row>
  </sheetData>
  <mergeCells count="12">
    <mergeCell ref="A35:Q35"/>
    <mergeCell ref="A4:Q4"/>
    <mergeCell ref="A5:A6"/>
    <mergeCell ref="B5:B6"/>
    <mergeCell ref="C5:C6"/>
    <mergeCell ref="D5:D6"/>
    <mergeCell ref="E5:Q5"/>
    <mergeCell ref="A7:Q7"/>
    <mergeCell ref="A8:Q8"/>
    <mergeCell ref="A22:Q22"/>
    <mergeCell ref="A25:Q25"/>
    <mergeCell ref="A33:Q33"/>
  </mergeCells>
  <pageMargins left="0.70866141732283472" right="0.70866141732283472" top="0.74803149606299213" bottom="0.55118110236220474" header="0.31496062992125984" footer="0.31496062992125984"/>
  <pageSetup paperSize="9" scale="65" fitToHeight="0"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1"/>
  <sheetViews>
    <sheetView view="pageBreakPreview" zoomScaleNormal="100" zoomScaleSheetLayoutView="100" workbookViewId="0">
      <selection activeCell="F44" sqref="F44"/>
    </sheetView>
  </sheetViews>
  <sheetFormatPr defaultColWidth="9.140625" defaultRowHeight="12"/>
  <cols>
    <col min="1" max="1" width="77.28515625" style="28" customWidth="1"/>
    <col min="2" max="2" width="7" style="28" customWidth="1"/>
    <col min="3" max="3" width="8" style="55" customWidth="1"/>
    <col min="4" max="4" width="8" style="30" customWidth="1"/>
    <col min="5" max="5" width="8" style="29" customWidth="1"/>
    <col min="6" max="16" width="8" style="31" customWidth="1"/>
    <col min="17" max="17" width="0" style="672" hidden="1" customWidth="1"/>
    <col min="18" max="16384" width="9.140625" style="672"/>
  </cols>
  <sheetData>
    <row r="1" spans="1:35" s="665" customFormat="1" ht="12.75" customHeight="1">
      <c r="A1" s="21" t="s">
        <v>18</v>
      </c>
      <c r="B1" s="21"/>
      <c r="C1" s="54"/>
      <c r="D1" s="23"/>
      <c r="E1" s="22"/>
      <c r="F1" s="24"/>
      <c r="G1" s="24"/>
      <c r="H1" s="24"/>
      <c r="I1" s="24"/>
      <c r="J1" s="24"/>
      <c r="K1" s="24"/>
      <c r="L1" s="24"/>
      <c r="M1" s="24"/>
      <c r="N1" s="24"/>
      <c r="O1" s="24"/>
      <c r="P1" s="24"/>
    </row>
    <row r="2" spans="1:35" s="665" customFormat="1" ht="12.75" customHeight="1">
      <c r="A2" s="21" t="s">
        <v>19</v>
      </c>
      <c r="B2" s="21"/>
      <c r="C2" s="54"/>
      <c r="D2" s="23"/>
      <c r="E2" s="22"/>
      <c r="F2" s="24"/>
      <c r="G2" s="24"/>
      <c r="H2" s="24"/>
      <c r="I2" s="24"/>
      <c r="J2" s="24"/>
      <c r="K2" s="24"/>
      <c r="L2" s="24"/>
      <c r="M2" s="24"/>
      <c r="N2" s="24"/>
      <c r="O2" s="24"/>
      <c r="P2" s="24"/>
    </row>
    <row r="3" spans="1:35" s="665" customFormat="1" ht="12.75" hidden="1" customHeight="1">
      <c r="A3" s="21"/>
      <c r="B3" s="21"/>
      <c r="C3" s="54"/>
      <c r="D3" s="23"/>
      <c r="E3" s="22"/>
      <c r="F3" s="24"/>
      <c r="G3" s="24"/>
      <c r="H3" s="24"/>
      <c r="I3" s="24"/>
      <c r="J3" s="24"/>
      <c r="K3" s="24"/>
      <c r="L3" s="24"/>
      <c r="M3" s="24"/>
      <c r="N3" s="24"/>
      <c r="O3" s="24"/>
      <c r="P3" s="24"/>
    </row>
    <row r="4" spans="1:35" s="665" customFormat="1" ht="12.75" hidden="1" customHeight="1">
      <c r="A4" s="21"/>
      <c r="B4" s="21"/>
      <c r="C4" s="54"/>
      <c r="D4" s="23"/>
      <c r="E4" s="22"/>
      <c r="F4" s="24"/>
      <c r="G4" s="24"/>
      <c r="H4" s="24"/>
      <c r="I4" s="24"/>
      <c r="J4" s="24"/>
      <c r="K4" s="24"/>
      <c r="L4" s="24"/>
      <c r="M4" s="24"/>
      <c r="N4" s="24"/>
      <c r="O4" s="24"/>
      <c r="P4" s="24"/>
    </row>
    <row r="5" spans="1:35" s="665" customFormat="1" ht="12.75" hidden="1" customHeight="1">
      <c r="A5" s="21"/>
      <c r="B5" s="21"/>
      <c r="C5" s="54"/>
      <c r="D5" s="23"/>
      <c r="E5" s="22"/>
      <c r="F5" s="24"/>
      <c r="G5" s="24"/>
      <c r="H5" s="24"/>
      <c r="I5" s="24"/>
      <c r="J5" s="24"/>
      <c r="K5" s="24"/>
      <c r="L5" s="24"/>
      <c r="M5" s="24"/>
      <c r="N5" s="24"/>
      <c r="O5" s="24"/>
      <c r="P5" s="24"/>
    </row>
    <row r="6" spans="1:35" s="665" customFormat="1" ht="19.5" customHeight="1">
      <c r="A6" s="1129" t="s">
        <v>359</v>
      </c>
      <c r="B6" s="1129"/>
      <c r="C6" s="1129"/>
      <c r="D6" s="1129"/>
      <c r="E6" s="1129"/>
      <c r="F6" s="1129"/>
      <c r="G6" s="1129"/>
      <c r="H6" s="1129"/>
      <c r="I6" s="1129"/>
      <c r="J6" s="1129"/>
      <c r="K6" s="1129"/>
      <c r="L6" s="1129"/>
      <c r="M6" s="1129"/>
      <c r="N6" s="1129"/>
      <c r="O6" s="1129"/>
      <c r="P6" s="1129"/>
    </row>
    <row r="7" spans="1:35" s="665" customFormat="1" ht="12.75" customHeight="1">
      <c r="A7" s="1126" t="s">
        <v>323</v>
      </c>
      <c r="B7" s="1108" t="s">
        <v>24</v>
      </c>
      <c r="C7" s="1108" t="s">
        <v>25</v>
      </c>
      <c r="D7" s="1139">
        <v>2016</v>
      </c>
      <c r="E7" s="1140"/>
      <c r="F7" s="1140"/>
      <c r="G7" s="1140"/>
      <c r="H7" s="1140"/>
      <c r="I7" s="1140"/>
      <c r="J7" s="1140"/>
      <c r="K7" s="1140"/>
      <c r="L7" s="1140"/>
      <c r="M7" s="1140"/>
      <c r="N7" s="1140"/>
      <c r="O7" s="1140"/>
      <c r="P7" s="1141"/>
    </row>
    <row r="8" spans="1:35" s="665" customFormat="1" ht="22.5" customHeight="1">
      <c r="A8" s="1092"/>
      <c r="B8" s="1086"/>
      <c r="C8" s="1086"/>
      <c r="D8" s="689" t="s">
        <v>26</v>
      </c>
      <c r="E8" s="689" t="s">
        <v>27</v>
      </c>
      <c r="F8" s="689" t="s">
        <v>28</v>
      </c>
      <c r="G8" s="689" t="s">
        <v>29</v>
      </c>
      <c r="H8" s="689" t="s">
        <v>30</v>
      </c>
      <c r="I8" s="689" t="s">
        <v>31</v>
      </c>
      <c r="J8" s="689" t="s">
        <v>32</v>
      </c>
      <c r="K8" s="689" t="s">
        <v>33</v>
      </c>
      <c r="L8" s="689" t="s">
        <v>34</v>
      </c>
      <c r="M8" s="689" t="s">
        <v>35</v>
      </c>
      <c r="N8" s="689" t="s">
        <v>36</v>
      </c>
      <c r="O8" s="689" t="s">
        <v>37</v>
      </c>
      <c r="P8" s="689" t="s">
        <v>38</v>
      </c>
    </row>
    <row r="9" spans="1:35" s="665" customFormat="1" ht="18" customHeight="1">
      <c r="A9" s="690" t="s">
        <v>349</v>
      </c>
      <c r="B9" s="691"/>
      <c r="C9" s="691"/>
      <c r="D9" s="691"/>
      <c r="E9" s="691"/>
      <c r="F9" s="691"/>
      <c r="G9" s="691"/>
      <c r="H9" s="691"/>
      <c r="I9" s="691"/>
      <c r="J9" s="691"/>
      <c r="K9" s="691"/>
      <c r="L9" s="691"/>
      <c r="M9" s="691"/>
      <c r="N9" s="691"/>
      <c r="O9" s="691"/>
      <c r="P9" s="692"/>
    </row>
    <row r="10" spans="1:35" s="299" customFormat="1">
      <c r="A10" s="693" t="s">
        <v>41</v>
      </c>
      <c r="B10" s="990"/>
      <c r="C10" s="991"/>
      <c r="D10" s="926">
        <v>23</v>
      </c>
      <c r="E10" s="995">
        <v>23</v>
      </c>
      <c r="F10" s="995">
        <v>29</v>
      </c>
      <c r="G10" s="926">
        <v>40</v>
      </c>
      <c r="H10" s="926">
        <v>45</v>
      </c>
      <c r="I10" s="926">
        <v>50</v>
      </c>
      <c r="J10" s="993"/>
      <c r="K10" s="992"/>
      <c r="L10" s="992"/>
      <c r="M10" s="992"/>
      <c r="N10" s="992"/>
      <c r="O10" s="992"/>
      <c r="P10" s="1019"/>
      <c r="R10" s="665"/>
      <c r="S10" s="665"/>
      <c r="T10" s="665"/>
      <c r="U10" s="665"/>
      <c r="V10" s="665"/>
      <c r="W10" s="665"/>
      <c r="X10" s="665"/>
      <c r="Y10" s="665"/>
      <c r="Z10" s="665"/>
    </row>
    <row r="11" spans="1:35" s="666" customFormat="1" ht="16.5" customHeight="1">
      <c r="A11" s="693" t="s">
        <v>42</v>
      </c>
      <c r="B11" s="990"/>
      <c r="C11" s="991"/>
      <c r="D11" s="926">
        <v>18</v>
      </c>
      <c r="E11" s="995">
        <v>15</v>
      </c>
      <c r="F11" s="995">
        <v>27</v>
      </c>
      <c r="G11" s="926">
        <v>21</v>
      </c>
      <c r="H11" s="926">
        <v>9</v>
      </c>
      <c r="I11" s="926">
        <v>12</v>
      </c>
      <c r="J11" s="993"/>
      <c r="K11" s="992"/>
      <c r="L11" s="992"/>
      <c r="M11" s="992"/>
      <c r="N11" s="992"/>
      <c r="O11" s="992"/>
      <c r="P11" s="698">
        <f>SUM(D11:O11)</f>
        <v>102</v>
      </c>
      <c r="R11" s="665"/>
      <c r="S11" s="665"/>
      <c r="T11" s="665"/>
      <c r="U11" s="665"/>
      <c r="V11" s="665"/>
      <c r="W11" s="665"/>
      <c r="X11" s="665"/>
      <c r="Y11" s="665"/>
      <c r="Z11" s="665"/>
    </row>
    <row r="12" spans="1:35" s="666" customFormat="1" ht="16.5" customHeight="1">
      <c r="A12" s="676" t="s">
        <v>43</v>
      </c>
      <c r="B12" s="677"/>
      <c r="C12" s="678"/>
      <c r="D12" s="1008">
        <v>18</v>
      </c>
      <c r="E12" s="1008">
        <v>9</v>
      </c>
      <c r="F12" s="1008">
        <v>16</v>
      </c>
      <c r="G12" s="1008">
        <v>16</v>
      </c>
      <c r="H12" s="1008">
        <v>4</v>
      </c>
      <c r="I12" s="1008">
        <v>25</v>
      </c>
      <c r="J12" s="694"/>
      <c r="K12" s="694"/>
      <c r="L12" s="694"/>
      <c r="M12" s="694"/>
      <c r="N12" s="694"/>
      <c r="O12" s="694"/>
      <c r="P12" s="695">
        <f>SUM(D12:O12)</f>
        <v>88</v>
      </c>
      <c r="R12" s="665"/>
      <c r="S12" s="665"/>
      <c r="T12" s="665"/>
      <c r="U12" s="665"/>
      <c r="V12" s="665"/>
      <c r="W12" s="665"/>
      <c r="X12" s="665"/>
      <c r="Y12" s="665"/>
      <c r="Z12" s="665"/>
    </row>
    <row r="13" spans="1:35" s="666" customFormat="1" ht="16.5" customHeight="1">
      <c r="A13" s="693" t="s">
        <v>44</v>
      </c>
      <c r="B13" s="677"/>
      <c r="C13" s="678"/>
      <c r="D13" s="694">
        <f>D10+D11-D12</f>
        <v>23</v>
      </c>
      <c r="E13" s="694">
        <f t="shared" ref="E13:I13" si="0">E10+E11-E12</f>
        <v>29</v>
      </c>
      <c r="F13" s="694">
        <f t="shared" si="0"/>
        <v>40</v>
      </c>
      <c r="G13" s="694">
        <f t="shared" si="0"/>
        <v>45</v>
      </c>
      <c r="H13" s="694">
        <f t="shared" si="0"/>
        <v>50</v>
      </c>
      <c r="I13" s="694">
        <f t="shared" si="0"/>
        <v>37</v>
      </c>
      <c r="J13" s="680"/>
      <c r="K13" s="680"/>
      <c r="L13" s="680"/>
      <c r="M13" s="680"/>
      <c r="N13" s="680"/>
      <c r="O13" s="679"/>
      <c r="P13" s="1019"/>
      <c r="R13" s="665"/>
      <c r="S13" s="665"/>
      <c r="T13" s="665"/>
      <c r="U13" s="665"/>
      <c r="V13" s="665"/>
      <c r="W13" s="665"/>
      <c r="X13" s="665"/>
      <c r="Y13" s="665"/>
      <c r="Z13" s="665"/>
    </row>
    <row r="14" spans="1:35" s="666" customFormat="1" ht="19.5" customHeight="1">
      <c r="A14" s="682" t="s">
        <v>45</v>
      </c>
      <c r="B14" s="677"/>
      <c r="C14" s="678"/>
      <c r="D14" s="850">
        <v>1969974.47</v>
      </c>
      <c r="E14" s="850">
        <v>354537.64</v>
      </c>
      <c r="F14" s="850">
        <v>1541029.72</v>
      </c>
      <c r="G14" s="850">
        <v>1293667.4099999999</v>
      </c>
      <c r="H14" s="850">
        <v>0</v>
      </c>
      <c r="I14" s="850">
        <v>6087835.1699999999</v>
      </c>
      <c r="J14" s="850"/>
      <c r="K14" s="850"/>
      <c r="L14" s="850"/>
      <c r="M14" s="850"/>
      <c r="N14" s="850"/>
      <c r="O14" s="850"/>
      <c r="P14" s="851">
        <f t="shared" ref="P14" si="1">SUM(D14:O14)</f>
        <v>11247044.41</v>
      </c>
      <c r="R14" s="665"/>
      <c r="S14" s="665"/>
      <c r="T14" s="665"/>
      <c r="U14" s="665"/>
      <c r="V14" s="665"/>
      <c r="W14" s="665"/>
      <c r="X14" s="665"/>
      <c r="Y14" s="665"/>
      <c r="Z14" s="665"/>
    </row>
    <row r="15" spans="1:35" s="666" customFormat="1" ht="12" customHeight="1">
      <c r="A15" s="682"/>
      <c r="B15" s="677"/>
      <c r="C15" s="677"/>
      <c r="D15" s="678"/>
      <c r="E15" s="680"/>
      <c r="F15" s="680"/>
      <c r="G15" s="680"/>
      <c r="H15" s="680"/>
      <c r="I15" s="679"/>
      <c r="J15" s="680"/>
      <c r="K15" s="680"/>
      <c r="L15" s="680"/>
      <c r="M15" s="680"/>
      <c r="N15" s="680"/>
      <c r="O15" s="680"/>
      <c r="P15" s="679"/>
      <c r="Q15" s="681"/>
      <c r="R15" s="665"/>
      <c r="S15" s="665"/>
      <c r="T15" s="665"/>
      <c r="U15" s="665"/>
      <c r="V15" s="665"/>
      <c r="W15" s="665"/>
      <c r="X15" s="665"/>
      <c r="Y15" s="665"/>
      <c r="Z15" s="665"/>
      <c r="AA15" s="675"/>
      <c r="AB15" s="675"/>
      <c r="AC15" s="675"/>
      <c r="AD15" s="675"/>
      <c r="AE15" s="675"/>
      <c r="AF15" s="675"/>
      <c r="AG15" s="675"/>
      <c r="AH15" s="675"/>
      <c r="AI15" s="675"/>
    </row>
    <row r="16" spans="1:35" s="666" customFormat="1" ht="24.75" customHeight="1">
      <c r="A16" s="682" t="s">
        <v>363</v>
      </c>
      <c r="B16" s="677"/>
      <c r="C16" s="677"/>
      <c r="D16" s="1010">
        <v>4</v>
      </c>
      <c r="E16" s="1009">
        <v>9</v>
      </c>
      <c r="F16" s="1009">
        <v>12</v>
      </c>
      <c r="G16" s="1009">
        <v>8</v>
      </c>
      <c r="H16" s="1009">
        <v>1</v>
      </c>
      <c r="I16" s="1009">
        <v>14</v>
      </c>
      <c r="J16" s="680"/>
      <c r="K16" s="680"/>
      <c r="L16" s="680"/>
      <c r="M16" s="680"/>
      <c r="N16" s="680"/>
      <c r="O16" s="680"/>
      <c r="P16" s="694">
        <f>SUM(D16:O16)</f>
        <v>48</v>
      </c>
      <c r="Q16" s="684"/>
      <c r="R16" s="665"/>
      <c r="S16" s="665"/>
      <c r="T16" s="665"/>
      <c r="U16" s="665"/>
      <c r="V16" s="665"/>
      <c r="W16" s="665"/>
      <c r="X16" s="665"/>
      <c r="Y16" s="665"/>
      <c r="Z16" s="665"/>
      <c r="AA16" s="675"/>
      <c r="AB16" s="675"/>
      <c r="AC16" s="675"/>
      <c r="AD16" s="675"/>
      <c r="AE16" s="675"/>
      <c r="AF16" s="675"/>
      <c r="AG16" s="675"/>
      <c r="AH16" s="675"/>
      <c r="AI16" s="675"/>
    </row>
    <row r="17" spans="1:35" s="666" customFormat="1" ht="11.45" customHeight="1">
      <c r="A17" s="682"/>
      <c r="B17" s="677"/>
      <c r="C17" s="677"/>
      <c r="D17" s="678"/>
      <c r="E17" s="680"/>
      <c r="F17" s="680"/>
      <c r="G17" s="680"/>
      <c r="H17" s="680"/>
      <c r="I17" s="679"/>
      <c r="J17" s="680"/>
      <c r="K17" s="680"/>
      <c r="L17" s="680"/>
      <c r="M17" s="680"/>
      <c r="N17" s="680"/>
      <c r="O17" s="680"/>
      <c r="P17" s="679"/>
      <c r="Q17" s="681"/>
      <c r="R17" s="665"/>
      <c r="S17" s="665"/>
      <c r="T17" s="665"/>
      <c r="U17" s="665"/>
      <c r="V17" s="665"/>
      <c r="W17" s="665"/>
      <c r="X17" s="665"/>
      <c r="Y17" s="665"/>
      <c r="Z17" s="665"/>
      <c r="AA17" s="675"/>
      <c r="AB17" s="675"/>
      <c r="AC17" s="675"/>
      <c r="AD17" s="675"/>
      <c r="AE17" s="675"/>
      <c r="AF17" s="675"/>
      <c r="AG17" s="675"/>
      <c r="AH17" s="675"/>
      <c r="AI17" s="675"/>
    </row>
    <row r="18" spans="1:35" s="74" customFormat="1" ht="15" customHeight="1">
      <c r="A18" s="693" t="s">
        <v>339</v>
      </c>
      <c r="B18" s="693"/>
      <c r="C18" s="994"/>
      <c r="D18" s="926">
        <v>267</v>
      </c>
      <c r="E18" s="995">
        <v>315</v>
      </c>
      <c r="F18" s="995">
        <v>382</v>
      </c>
      <c r="G18" s="926">
        <v>529</v>
      </c>
      <c r="H18" s="926">
        <v>568</v>
      </c>
      <c r="I18" s="926">
        <v>593</v>
      </c>
      <c r="J18" s="925"/>
      <c r="K18" s="926"/>
      <c r="L18" s="926"/>
      <c r="M18" s="926"/>
      <c r="N18" s="926"/>
      <c r="O18" s="926"/>
      <c r="P18" s="1019"/>
      <c r="R18" s="996"/>
      <c r="S18" s="996"/>
      <c r="T18" s="996"/>
      <c r="U18" s="996"/>
      <c r="V18" s="996"/>
      <c r="W18" s="996"/>
      <c r="X18" s="996"/>
      <c r="Y18" s="996"/>
      <c r="Z18" s="996"/>
    </row>
    <row r="19" spans="1:35" s="74" customFormat="1" ht="15" customHeight="1">
      <c r="A19" s="693" t="s">
        <v>340</v>
      </c>
      <c r="B19" s="693"/>
      <c r="C19" s="994"/>
      <c r="D19" s="926">
        <v>55</v>
      </c>
      <c r="E19" s="995">
        <v>81</v>
      </c>
      <c r="F19" s="995">
        <v>162</v>
      </c>
      <c r="G19" s="926">
        <v>55</v>
      </c>
      <c r="H19" s="926">
        <v>42</v>
      </c>
      <c r="I19" s="926">
        <v>186</v>
      </c>
      <c r="J19" s="925"/>
      <c r="K19" s="926"/>
      <c r="L19" s="926"/>
      <c r="M19" s="926"/>
      <c r="N19" s="926"/>
      <c r="O19" s="926"/>
      <c r="P19" s="698">
        <f>SUM(D19:O19)</f>
        <v>581</v>
      </c>
      <c r="R19" s="996"/>
      <c r="S19" s="996"/>
      <c r="T19" s="996"/>
      <c r="U19" s="996"/>
      <c r="V19" s="996"/>
      <c r="W19" s="996"/>
      <c r="X19" s="996"/>
      <c r="Y19" s="996"/>
      <c r="Z19" s="996"/>
    </row>
    <row r="20" spans="1:35" s="666" customFormat="1" ht="15" customHeight="1">
      <c r="A20" s="676" t="s">
        <v>341</v>
      </c>
      <c r="B20" s="676"/>
      <c r="C20" s="696"/>
      <c r="D20" s="697">
        <v>7</v>
      </c>
      <c r="E20" s="697">
        <v>14</v>
      </c>
      <c r="F20" s="697">
        <v>15</v>
      </c>
      <c r="G20" s="697">
        <v>16</v>
      </c>
      <c r="H20" s="697">
        <v>17</v>
      </c>
      <c r="I20" s="697">
        <v>24</v>
      </c>
      <c r="J20" s="697"/>
      <c r="K20" s="697"/>
      <c r="L20" s="697"/>
      <c r="M20" s="697"/>
      <c r="N20" s="698"/>
      <c r="O20" s="698"/>
      <c r="P20" s="695">
        <f>SUM(D20:O20)</f>
        <v>93</v>
      </c>
      <c r="R20" s="665"/>
      <c r="S20" s="665"/>
      <c r="T20" s="665"/>
      <c r="U20" s="665"/>
      <c r="V20" s="665"/>
      <c r="W20" s="665"/>
      <c r="X20" s="665"/>
      <c r="Y20" s="665"/>
      <c r="Z20" s="665"/>
    </row>
    <row r="21" spans="1:35" s="74" customFormat="1" ht="15" customHeight="1">
      <c r="A21" s="693" t="s">
        <v>342</v>
      </c>
      <c r="B21" s="676"/>
      <c r="C21" s="696"/>
      <c r="D21" s="1011">
        <f>D18+D19-D20</f>
        <v>315</v>
      </c>
      <c r="E21" s="1011">
        <f t="shared" ref="E21:I21" si="2">E18+E19-E20</f>
        <v>382</v>
      </c>
      <c r="F21" s="1011">
        <f t="shared" si="2"/>
        <v>529</v>
      </c>
      <c r="G21" s="1011">
        <f t="shared" si="2"/>
        <v>568</v>
      </c>
      <c r="H21" s="1011">
        <f t="shared" si="2"/>
        <v>593</v>
      </c>
      <c r="I21" s="1011">
        <f t="shared" si="2"/>
        <v>755</v>
      </c>
      <c r="J21" s="699"/>
      <c r="K21" s="699"/>
      <c r="L21" s="699"/>
      <c r="M21" s="699"/>
      <c r="N21" s="699"/>
      <c r="O21" s="699"/>
      <c r="P21" s="1019"/>
      <c r="R21" s="996"/>
      <c r="S21" s="996"/>
      <c r="T21" s="996"/>
      <c r="U21" s="996"/>
      <c r="V21" s="996"/>
      <c r="W21" s="996"/>
      <c r="X21" s="996"/>
      <c r="Y21" s="996"/>
      <c r="Z21" s="996"/>
    </row>
    <row r="22" spans="1:35" s="666" customFormat="1" ht="15" customHeight="1">
      <c r="A22" s="676" t="s">
        <v>343</v>
      </c>
      <c r="B22" s="682"/>
      <c r="C22" s="678"/>
      <c r="D22" s="853">
        <v>53465.209999999963</v>
      </c>
      <c r="E22" s="853">
        <v>226418.04</v>
      </c>
      <c r="F22" s="853">
        <v>647457.48</v>
      </c>
      <c r="G22" s="853">
        <v>117146.98</v>
      </c>
      <c r="H22" s="853">
        <v>1058240.26</v>
      </c>
      <c r="I22" s="853">
        <v>189639.96000000002</v>
      </c>
      <c r="J22" s="853"/>
      <c r="K22" s="853"/>
      <c r="L22" s="853"/>
      <c r="M22" s="853"/>
      <c r="N22" s="853"/>
      <c r="O22" s="853"/>
      <c r="P22" s="851">
        <f t="shared" ref="P22:P31" si="3">SUM(D22:O22)</f>
        <v>2292367.9299999997</v>
      </c>
      <c r="R22" s="665"/>
      <c r="S22" s="665"/>
      <c r="T22" s="665"/>
      <c r="U22" s="665"/>
      <c r="V22" s="665"/>
      <c r="W22" s="665"/>
      <c r="X22" s="665"/>
      <c r="Y22" s="665"/>
      <c r="Z22" s="665"/>
    </row>
    <row r="23" spans="1:35" s="666" customFormat="1" ht="13.15" customHeight="1">
      <c r="A23" s="682"/>
      <c r="B23" s="682"/>
      <c r="C23" s="678"/>
      <c r="D23" s="700"/>
      <c r="E23" s="700"/>
      <c r="F23" s="700"/>
      <c r="G23" s="700"/>
      <c r="H23" s="700"/>
      <c r="I23" s="700"/>
      <c r="J23" s="700"/>
      <c r="K23" s="700"/>
      <c r="L23" s="700"/>
      <c r="M23" s="700"/>
      <c r="N23" s="700"/>
      <c r="O23" s="701"/>
      <c r="P23" s="695"/>
      <c r="R23" s="665"/>
      <c r="S23" s="665"/>
      <c r="T23" s="665"/>
      <c r="U23" s="665"/>
      <c r="V23" s="665"/>
      <c r="W23" s="665"/>
      <c r="X23" s="665"/>
      <c r="Y23" s="665"/>
      <c r="Z23" s="665"/>
    </row>
    <row r="24" spans="1:35" s="666" customFormat="1" ht="19.5" customHeight="1">
      <c r="A24" s="676" t="s">
        <v>344</v>
      </c>
      <c r="B24" s="676"/>
      <c r="C24" s="696"/>
      <c r="D24" s="698">
        <f t="shared" ref="D24:I24" si="4">D12+D20</f>
        <v>25</v>
      </c>
      <c r="E24" s="698">
        <f t="shared" si="4"/>
        <v>23</v>
      </c>
      <c r="F24" s="698">
        <f t="shared" si="4"/>
        <v>31</v>
      </c>
      <c r="G24" s="698">
        <f t="shared" si="4"/>
        <v>32</v>
      </c>
      <c r="H24" s="698">
        <f t="shared" si="4"/>
        <v>21</v>
      </c>
      <c r="I24" s="698">
        <f t="shared" si="4"/>
        <v>49</v>
      </c>
      <c r="J24" s="698"/>
      <c r="K24" s="698"/>
      <c r="L24" s="698"/>
      <c r="M24" s="698"/>
      <c r="N24" s="698"/>
      <c r="O24" s="698"/>
      <c r="P24" s="695">
        <f t="shared" si="3"/>
        <v>181</v>
      </c>
      <c r="R24" s="665"/>
      <c r="S24" s="665"/>
      <c r="T24" s="665"/>
      <c r="U24" s="665"/>
      <c r="V24" s="665"/>
      <c r="W24" s="665"/>
      <c r="X24" s="665"/>
      <c r="Y24" s="665"/>
      <c r="Z24" s="665"/>
    </row>
    <row r="25" spans="1:35" s="666" customFormat="1" ht="24.75" customHeight="1">
      <c r="A25" s="676" t="s">
        <v>345</v>
      </c>
      <c r="B25" s="676"/>
      <c r="C25" s="696"/>
      <c r="D25" s="699">
        <v>12</v>
      </c>
      <c r="E25" s="699">
        <v>14</v>
      </c>
      <c r="F25" s="699">
        <v>26</v>
      </c>
      <c r="G25" s="699">
        <v>16</v>
      </c>
      <c r="H25" s="699">
        <v>11</v>
      </c>
      <c r="I25" s="699">
        <v>29</v>
      </c>
      <c r="J25" s="698"/>
      <c r="K25" s="699"/>
      <c r="L25" s="699"/>
      <c r="M25" s="699"/>
      <c r="N25" s="699"/>
      <c r="O25" s="699"/>
      <c r="P25" s="695">
        <f t="shared" si="3"/>
        <v>108</v>
      </c>
      <c r="R25" s="665"/>
      <c r="S25" s="665"/>
      <c r="T25" s="665"/>
      <c r="U25" s="665"/>
      <c r="V25" s="665"/>
      <c r="W25" s="665"/>
      <c r="X25" s="665"/>
      <c r="Y25" s="665"/>
      <c r="Z25" s="665"/>
    </row>
    <row r="26" spans="1:35" s="666" customFormat="1" ht="16.5" customHeight="1">
      <c r="A26" s="682" t="s">
        <v>346</v>
      </c>
      <c r="B26" s="676"/>
      <c r="C26" s="696"/>
      <c r="D26" s="852">
        <f t="shared" ref="D26:I26" si="5">D14+D22</f>
        <v>2023439.68</v>
      </c>
      <c r="E26" s="852">
        <f t="shared" si="5"/>
        <v>580955.68000000005</v>
      </c>
      <c r="F26" s="852">
        <f t="shared" si="5"/>
        <v>2188487.2000000002</v>
      </c>
      <c r="G26" s="852">
        <f t="shared" si="5"/>
        <v>1410814.39</v>
      </c>
      <c r="H26" s="852">
        <f t="shared" si="5"/>
        <v>1058240.26</v>
      </c>
      <c r="I26" s="852">
        <f t="shared" si="5"/>
        <v>6277475.1299999999</v>
      </c>
      <c r="J26" s="852"/>
      <c r="K26" s="852"/>
      <c r="L26" s="852"/>
      <c r="M26" s="852"/>
      <c r="N26" s="852"/>
      <c r="O26" s="852"/>
      <c r="P26" s="851">
        <f t="shared" si="3"/>
        <v>13539412.34</v>
      </c>
      <c r="R26" s="665"/>
      <c r="S26" s="665"/>
      <c r="T26" s="665"/>
      <c r="U26" s="665"/>
      <c r="V26" s="665"/>
      <c r="W26" s="665"/>
      <c r="X26" s="665"/>
      <c r="Y26" s="665"/>
      <c r="Z26" s="665"/>
    </row>
    <row r="27" spans="1:35" s="662" customFormat="1" ht="9.6" customHeight="1">
      <c r="A27" s="702"/>
      <c r="B27" s="667"/>
      <c r="C27" s="668"/>
      <c r="D27" s="670"/>
      <c r="E27" s="670"/>
      <c r="F27" s="670"/>
      <c r="G27" s="670"/>
      <c r="H27" s="670"/>
      <c r="I27" s="670"/>
      <c r="J27" s="664"/>
      <c r="K27" s="670"/>
      <c r="L27" s="670"/>
      <c r="M27" s="670"/>
      <c r="N27" s="670"/>
      <c r="O27" s="670"/>
      <c r="P27" s="669"/>
      <c r="R27" s="663"/>
      <c r="S27" s="663"/>
      <c r="T27" s="663"/>
      <c r="U27" s="663"/>
      <c r="V27" s="663"/>
      <c r="W27" s="663"/>
      <c r="X27" s="663"/>
      <c r="Y27" s="663"/>
      <c r="Z27" s="663"/>
    </row>
    <row r="28" spans="1:35" s="662" customFormat="1">
      <c r="A28" s="682" t="s">
        <v>347</v>
      </c>
      <c r="B28" s="667"/>
      <c r="C28" s="668"/>
      <c r="D28" s="670"/>
      <c r="E28" s="670"/>
      <c r="F28" s="670"/>
      <c r="G28" s="670"/>
      <c r="H28" s="670"/>
      <c r="I28" s="670"/>
      <c r="J28" s="664"/>
      <c r="K28" s="670"/>
      <c r="L28" s="670"/>
      <c r="M28" s="670"/>
      <c r="N28" s="670"/>
      <c r="O28" s="670"/>
      <c r="P28" s="669"/>
      <c r="R28" s="663"/>
      <c r="S28" s="663"/>
      <c r="T28" s="663"/>
      <c r="U28" s="663"/>
      <c r="V28" s="663"/>
      <c r="W28" s="663"/>
      <c r="X28" s="663"/>
      <c r="Y28" s="663"/>
      <c r="Z28" s="663"/>
    </row>
    <row r="29" spans="1:35" s="675" customFormat="1" ht="20.25" customHeight="1">
      <c r="A29" s="677" t="s">
        <v>372</v>
      </c>
      <c r="B29" s="677"/>
      <c r="C29" s="678"/>
      <c r="D29" s="703">
        <v>213</v>
      </c>
      <c r="E29" s="703">
        <v>315</v>
      </c>
      <c r="F29" s="703">
        <v>305</v>
      </c>
      <c r="G29" s="703">
        <v>159</v>
      </c>
      <c r="H29" s="703">
        <v>192</v>
      </c>
      <c r="I29" s="703">
        <v>457</v>
      </c>
      <c r="J29" s="704"/>
      <c r="K29" s="703"/>
      <c r="L29" s="703"/>
      <c r="M29" s="703"/>
      <c r="N29" s="703"/>
      <c r="O29" s="703"/>
      <c r="P29" s="695">
        <f>SUM(D29:O29)</f>
        <v>1641</v>
      </c>
      <c r="R29" s="665"/>
      <c r="S29" s="665"/>
      <c r="T29" s="665"/>
      <c r="U29" s="665"/>
      <c r="V29" s="665"/>
      <c r="W29" s="665"/>
      <c r="X29" s="665"/>
      <c r="Y29" s="665"/>
      <c r="Z29" s="665"/>
    </row>
    <row r="30" spans="1:35" s="662" customFormat="1" ht="21" customHeight="1">
      <c r="A30" s="998" t="s">
        <v>373</v>
      </c>
      <c r="B30" s="677"/>
      <c r="C30" s="677"/>
      <c r="D30" s="703">
        <v>213</v>
      </c>
      <c r="E30" s="703">
        <v>315</v>
      </c>
      <c r="F30" s="703">
        <v>305</v>
      </c>
      <c r="G30" s="703">
        <v>159</v>
      </c>
      <c r="H30" s="703">
        <v>192</v>
      </c>
      <c r="I30" s="703">
        <v>457</v>
      </c>
      <c r="J30" s="680"/>
      <c r="K30" s="683"/>
      <c r="L30" s="680"/>
      <c r="M30" s="680"/>
      <c r="N30" s="680"/>
      <c r="O30" s="680"/>
      <c r="P30" s="695">
        <f>SUM(D30:O30)</f>
        <v>1641</v>
      </c>
      <c r="Q30" s="685"/>
      <c r="R30" s="663"/>
      <c r="S30" s="663"/>
      <c r="T30" s="663"/>
      <c r="U30" s="663"/>
      <c r="V30" s="663"/>
      <c r="W30" s="663"/>
      <c r="X30" s="663"/>
      <c r="Y30" s="663"/>
      <c r="Z30" s="663"/>
    </row>
    <row r="31" spans="1:35" s="675" customFormat="1" ht="24">
      <c r="A31" s="676" t="s">
        <v>348</v>
      </c>
      <c r="B31" s="677"/>
      <c r="C31" s="678"/>
      <c r="D31" s="703">
        <v>81</v>
      </c>
      <c r="E31" s="703">
        <v>136</v>
      </c>
      <c r="F31" s="703">
        <v>137</v>
      </c>
      <c r="G31" s="703">
        <v>75</v>
      </c>
      <c r="H31" s="703">
        <v>117</v>
      </c>
      <c r="I31" s="703">
        <v>170</v>
      </c>
      <c r="J31" s="704"/>
      <c r="K31" s="703"/>
      <c r="L31" s="703"/>
      <c r="M31" s="703"/>
      <c r="N31" s="703"/>
      <c r="O31" s="703"/>
      <c r="P31" s="695">
        <f t="shared" si="3"/>
        <v>716</v>
      </c>
    </row>
    <row r="32" spans="1:35" s="675" customFormat="1" ht="9" customHeight="1">
      <c r="A32" s="676"/>
      <c r="B32" s="677"/>
      <c r="C32" s="677"/>
      <c r="D32" s="678"/>
      <c r="E32" s="680"/>
      <c r="F32" s="680"/>
      <c r="G32" s="680"/>
      <c r="H32" s="680"/>
      <c r="I32" s="680"/>
      <c r="J32" s="680"/>
      <c r="K32" s="683"/>
      <c r="L32" s="680"/>
      <c r="M32" s="680"/>
      <c r="N32" s="680"/>
      <c r="O32" s="680"/>
      <c r="P32" s="679"/>
      <c r="Q32" s="681"/>
    </row>
    <row r="33" spans="1:17" s="675" customFormat="1">
      <c r="A33" s="1142" t="s">
        <v>350</v>
      </c>
      <c r="B33" s="1142"/>
      <c r="C33" s="1142"/>
      <c r="D33" s="1143"/>
      <c r="E33" s="1143"/>
      <c r="F33" s="1143"/>
      <c r="G33" s="1143"/>
      <c r="H33" s="1143"/>
      <c r="I33" s="1143"/>
      <c r="J33" s="1143"/>
      <c r="K33" s="1143"/>
      <c r="L33" s="1143"/>
      <c r="M33" s="1143"/>
      <c r="N33" s="1143"/>
      <c r="O33" s="1143"/>
      <c r="P33" s="1143"/>
      <c r="Q33" s="1143"/>
    </row>
    <row r="34" spans="1:17" s="675" customFormat="1" ht="24">
      <c r="A34" s="1012" t="s">
        <v>364</v>
      </c>
      <c r="B34" s="1012"/>
      <c r="C34" s="1012"/>
      <c r="D34" s="1016">
        <v>0</v>
      </c>
      <c r="E34" s="1016">
        <v>6</v>
      </c>
      <c r="F34" s="1016">
        <v>103</v>
      </c>
      <c r="G34" s="1016">
        <v>146</v>
      </c>
      <c r="H34" s="1016">
        <v>217</v>
      </c>
      <c r="I34" s="1016">
        <v>257</v>
      </c>
      <c r="J34" s="1017"/>
      <c r="K34" s="1017"/>
      <c r="L34" s="1017"/>
      <c r="M34" s="1017"/>
      <c r="N34" s="1017"/>
      <c r="O34" s="1017"/>
      <c r="P34" s="1019"/>
      <c r="Q34" s="1013"/>
    </row>
    <row r="35" spans="1:17" s="675" customFormat="1">
      <c r="A35" s="693" t="s">
        <v>365</v>
      </c>
      <c r="B35" s="693"/>
      <c r="C35" s="693"/>
      <c r="D35" s="1016">
        <v>6</v>
      </c>
      <c r="E35" s="1016">
        <v>97</v>
      </c>
      <c r="F35" s="1016">
        <v>45</v>
      </c>
      <c r="G35" s="1016">
        <v>87</v>
      </c>
      <c r="H35" s="1016">
        <v>53</v>
      </c>
      <c r="I35" s="1016">
        <v>110</v>
      </c>
      <c r="J35" s="1014"/>
      <c r="K35" s="1014"/>
      <c r="L35" s="1014"/>
      <c r="M35" s="1014"/>
      <c r="N35" s="1014"/>
      <c r="O35" s="1014"/>
      <c r="P35" s="1020">
        <f>SUM(D35:O35)</f>
        <v>398</v>
      </c>
      <c r="Q35" s="1015"/>
    </row>
    <row r="36" spans="1:17" s="675" customFormat="1">
      <c r="A36" s="676" t="s">
        <v>366</v>
      </c>
      <c r="B36" s="676"/>
      <c r="C36" s="676"/>
      <c r="D36" s="1016">
        <v>0</v>
      </c>
      <c r="E36" s="1016">
        <v>0</v>
      </c>
      <c r="F36" s="1016">
        <v>2</v>
      </c>
      <c r="G36" s="1016">
        <v>16</v>
      </c>
      <c r="H36" s="1016">
        <v>13</v>
      </c>
      <c r="I36" s="1016">
        <v>15</v>
      </c>
      <c r="J36" s="1014"/>
      <c r="K36" s="1014"/>
      <c r="L36" s="1014"/>
      <c r="M36" s="1014"/>
      <c r="N36" s="1014"/>
      <c r="O36" s="1014"/>
      <c r="P36" s="1020">
        <f>SUM(D36:O36)</f>
        <v>46</v>
      </c>
      <c r="Q36" s="1015"/>
    </row>
    <row r="37" spans="1:17" s="675" customFormat="1" ht="24">
      <c r="A37" s="693" t="s">
        <v>367</v>
      </c>
      <c r="B37" s="693"/>
      <c r="C37" s="693"/>
      <c r="D37" s="1016">
        <f>D34+D35-D36</f>
        <v>6</v>
      </c>
      <c r="E37" s="1016">
        <f t="shared" ref="E37:I37" si="6">E34+E35-E36</f>
        <v>103</v>
      </c>
      <c r="F37" s="1016">
        <f t="shared" si="6"/>
        <v>146</v>
      </c>
      <c r="G37" s="1016">
        <f t="shared" si="6"/>
        <v>217</v>
      </c>
      <c r="H37" s="1016">
        <f t="shared" si="6"/>
        <v>257</v>
      </c>
      <c r="I37" s="1016">
        <f t="shared" si="6"/>
        <v>352</v>
      </c>
      <c r="J37" s="1014"/>
      <c r="K37" s="1014"/>
      <c r="L37" s="1014"/>
      <c r="M37" s="1014"/>
      <c r="N37" s="1014"/>
      <c r="O37" s="1014"/>
      <c r="P37" s="1021"/>
      <c r="Q37" s="1015"/>
    </row>
    <row r="38" spans="1:17" s="675" customFormat="1" ht="24">
      <c r="A38" s="676" t="s">
        <v>351</v>
      </c>
      <c r="B38" s="693"/>
      <c r="C38" s="693"/>
      <c r="D38" s="1018">
        <v>0</v>
      </c>
      <c r="E38" s="1018">
        <v>0</v>
      </c>
      <c r="F38" s="1018">
        <v>0</v>
      </c>
      <c r="G38" s="1018">
        <v>0</v>
      </c>
      <c r="H38" s="1018">
        <v>0</v>
      </c>
      <c r="I38" s="1018">
        <v>0</v>
      </c>
      <c r="J38" s="1014"/>
      <c r="K38" s="1014"/>
      <c r="L38" s="1014"/>
      <c r="M38" s="1014"/>
      <c r="N38" s="1014"/>
      <c r="O38" s="1014"/>
      <c r="P38" s="1022">
        <f>SUM(D38:O38)</f>
        <v>0</v>
      </c>
      <c r="Q38" s="1015"/>
    </row>
    <row r="39" spans="1:17">
      <c r="A39" s="673" t="s">
        <v>46</v>
      </c>
      <c r="B39" s="673"/>
      <c r="C39" s="674"/>
      <c r="D39" s="674"/>
      <c r="E39" s="674"/>
      <c r="F39" s="674"/>
      <c r="G39" s="674"/>
      <c r="H39" s="674"/>
      <c r="I39" s="674"/>
      <c r="J39" s="674"/>
      <c r="K39" s="674"/>
      <c r="L39" s="674"/>
      <c r="M39" s="674"/>
      <c r="N39" s="674"/>
      <c r="O39" s="674"/>
      <c r="P39" s="674"/>
    </row>
    <row r="40" spans="1:17">
      <c r="A40" s="1138" t="s">
        <v>47</v>
      </c>
      <c r="B40" s="1138"/>
      <c r="C40" s="1138"/>
      <c r="D40" s="1138"/>
      <c r="E40" s="1138"/>
      <c r="F40" s="1138"/>
      <c r="G40" s="1138"/>
      <c r="H40" s="1138"/>
      <c r="I40" s="1138"/>
      <c r="J40" s="1138"/>
      <c r="K40" s="1138"/>
      <c r="L40" s="1138"/>
      <c r="M40" s="1138"/>
      <c r="N40" s="1138"/>
      <c r="O40" s="1138"/>
      <c r="P40" s="1138"/>
    </row>
    <row r="41" spans="1:17" ht="17.25" customHeight="1">
      <c r="A41" s="1138" t="s">
        <v>374</v>
      </c>
      <c r="B41" s="1138"/>
      <c r="C41" s="1138"/>
      <c r="D41" s="1138"/>
      <c r="E41" s="1138"/>
      <c r="F41" s="1138"/>
      <c r="G41" s="1138"/>
      <c r="H41" s="1138"/>
      <c r="I41" s="1138"/>
      <c r="J41" s="1138"/>
      <c r="K41" s="1138"/>
      <c r="L41" s="1138"/>
      <c r="M41" s="1138"/>
      <c r="N41" s="1138"/>
      <c r="O41" s="1138"/>
      <c r="P41" s="1138"/>
    </row>
  </sheetData>
  <mergeCells count="8">
    <mergeCell ref="A41:P41"/>
    <mergeCell ref="A6:P6"/>
    <mergeCell ref="A7:A8"/>
    <mergeCell ref="B7:B8"/>
    <mergeCell ref="C7:C8"/>
    <mergeCell ref="D7:P7"/>
    <mergeCell ref="A33:Q33"/>
    <mergeCell ref="A40:P40"/>
  </mergeCells>
  <pageMargins left="0.23622047244094491" right="0.23622047244094491" top="0.74803149606299213" bottom="0.74803149606299213" header="0.31496062992125984" footer="0.31496062992125984"/>
  <pageSetup paperSize="9" scale="72" fitToHeight="0" orientation="landscape" r:id="rId1"/>
  <headerFooter>
    <oddFooter>&amp;R&amp;A</oddFooter>
  </headerFooter>
  <ignoredErrors>
    <ignoredError sqref="D2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8"/>
  <sheetViews>
    <sheetView zoomScaleNormal="100" zoomScaleSheetLayoutView="100" workbookViewId="0">
      <selection activeCell="A7" sqref="A7"/>
    </sheetView>
  </sheetViews>
  <sheetFormatPr defaultColWidth="9.140625" defaultRowHeight="12"/>
  <cols>
    <col min="1" max="1" width="65.28515625" style="129" bestFit="1" customWidth="1"/>
    <col min="2" max="2" width="16.28515625" style="129" bestFit="1" customWidth="1"/>
    <col min="3" max="6" width="14.5703125" style="129" bestFit="1" customWidth="1"/>
    <col min="7" max="9" width="13.28515625" style="129" customWidth="1"/>
    <col min="10" max="16384" width="9.140625" style="129"/>
  </cols>
  <sheetData>
    <row r="1" spans="1:9">
      <c r="A1" s="21" t="s">
        <v>18</v>
      </c>
      <c r="B1" s="78"/>
      <c r="C1" s="79"/>
      <c r="D1" s="79"/>
      <c r="E1" s="79"/>
      <c r="F1" s="79"/>
      <c r="G1" s="79"/>
      <c r="H1" s="79"/>
      <c r="I1" s="79"/>
    </row>
    <row r="2" spans="1:9">
      <c r="A2" s="21" t="s">
        <v>19</v>
      </c>
      <c r="B2" s="78"/>
      <c r="C2" s="79"/>
      <c r="D2" s="79"/>
      <c r="E2" s="79"/>
      <c r="F2" s="79"/>
      <c r="G2" s="79"/>
      <c r="H2" s="79"/>
      <c r="I2" s="79"/>
    </row>
    <row r="3" spans="1:9" s="133" customFormat="1" ht="19.5" customHeight="1">
      <c r="A3" s="1129" t="s">
        <v>360</v>
      </c>
      <c r="B3" s="1129"/>
      <c r="C3" s="1129"/>
      <c r="D3" s="1129"/>
      <c r="E3" s="1129"/>
      <c r="F3" s="1129"/>
      <c r="G3" s="1129"/>
      <c r="H3" s="1129"/>
      <c r="I3" s="1129"/>
    </row>
    <row r="4" spans="1:9" s="133" customFormat="1" ht="12.75" customHeight="1">
      <c r="A4" s="1090" t="s">
        <v>326</v>
      </c>
      <c r="B4" s="1144">
        <v>2015</v>
      </c>
      <c r="C4" s="1145"/>
      <c r="D4" s="1145"/>
      <c r="E4" s="1145"/>
      <c r="F4" s="1144">
        <v>2016</v>
      </c>
      <c r="G4" s="1145"/>
      <c r="H4" s="1145"/>
      <c r="I4" s="1145"/>
    </row>
    <row r="5" spans="1:9" s="133" customFormat="1" ht="19.149999999999999" customHeight="1">
      <c r="A5" s="1092"/>
      <c r="B5" s="1" t="s">
        <v>1</v>
      </c>
      <c r="C5" s="1" t="s">
        <v>2</v>
      </c>
      <c r="D5" s="1" t="s">
        <v>3</v>
      </c>
      <c r="E5" s="1" t="s">
        <v>4</v>
      </c>
      <c r="F5" s="1" t="s">
        <v>1</v>
      </c>
      <c r="G5" s="1" t="s">
        <v>2</v>
      </c>
      <c r="H5" s="1" t="s">
        <v>3</v>
      </c>
      <c r="I5" s="1" t="s">
        <v>4</v>
      </c>
    </row>
    <row r="6" spans="1:9" s="133" customFormat="1" ht="30" customHeight="1">
      <c r="A6" s="130" t="s">
        <v>48</v>
      </c>
      <c r="B6" s="131"/>
      <c r="C6" s="131"/>
      <c r="D6" s="131"/>
      <c r="E6" s="131"/>
      <c r="F6" s="131"/>
      <c r="G6" s="131"/>
      <c r="H6" s="131"/>
      <c r="I6" s="131"/>
    </row>
    <row r="7" spans="1:9" ht="24">
      <c r="A7" s="562" t="s">
        <v>49</v>
      </c>
      <c r="B7" s="328">
        <v>1154</v>
      </c>
      <c r="C7" s="328">
        <v>2473</v>
      </c>
      <c r="D7" s="328">
        <v>1955</v>
      </c>
      <c r="E7" s="328">
        <v>2665</v>
      </c>
      <c r="F7" s="328">
        <v>3596</v>
      </c>
      <c r="G7" s="328"/>
      <c r="H7" s="328"/>
      <c r="I7" s="328"/>
    </row>
    <row r="8" spans="1:9" ht="24">
      <c r="A8" s="562" t="s">
        <v>50</v>
      </c>
      <c r="B8" s="574">
        <v>95171243.329999998</v>
      </c>
      <c r="C8" s="574">
        <v>76759500.939999998</v>
      </c>
      <c r="D8" s="574">
        <v>38603861.329999998</v>
      </c>
      <c r="E8" s="574">
        <v>54738232.859999999</v>
      </c>
      <c r="F8" s="574">
        <v>78266645.129999995</v>
      </c>
      <c r="G8" s="574"/>
      <c r="H8" s="574"/>
      <c r="I8" s="574"/>
    </row>
    <row r="9" spans="1:9" ht="16.5" customHeight="1">
      <c r="A9" s="562" t="s">
        <v>51</v>
      </c>
      <c r="B9" s="329">
        <v>1859</v>
      </c>
      <c r="C9" s="328">
        <v>3681</v>
      </c>
      <c r="D9" s="328">
        <v>4553</v>
      </c>
      <c r="E9" s="328">
        <v>3408</v>
      </c>
      <c r="F9" s="328">
        <v>3189</v>
      </c>
      <c r="G9" s="169"/>
      <c r="H9" s="169"/>
      <c r="I9" s="169"/>
    </row>
    <row r="10" spans="1:9" ht="24.75" thickBot="1">
      <c r="A10" s="570" t="s">
        <v>52</v>
      </c>
      <c r="B10" s="574">
        <v>397305459.96999997</v>
      </c>
      <c r="C10" s="574">
        <v>525633363.92000002</v>
      </c>
      <c r="D10" s="574">
        <v>572729139.11000001</v>
      </c>
      <c r="E10" s="574">
        <v>513959852.47999996</v>
      </c>
      <c r="F10" s="574">
        <v>583651413.70999992</v>
      </c>
      <c r="G10" s="574"/>
      <c r="H10" s="330"/>
      <c r="I10" s="330"/>
    </row>
    <row r="11" spans="1:9" s="170" customFormat="1" ht="24.75" thickBot="1">
      <c r="A11" s="571" t="s">
        <v>329</v>
      </c>
      <c r="B11" s="327">
        <f>B7/(B7+B9)</f>
        <v>0.38300696979754395</v>
      </c>
      <c r="C11" s="327">
        <f t="shared" ref="C11:F11" si="0">C7/(C7+C9)</f>
        <v>0.4018524536886578</v>
      </c>
      <c r="D11" s="327">
        <f t="shared" si="0"/>
        <v>0.30039950829748002</v>
      </c>
      <c r="E11" s="327">
        <f t="shared" si="0"/>
        <v>0.43882759756298367</v>
      </c>
      <c r="F11" s="327">
        <f t="shared" si="0"/>
        <v>0.52999263080324244</v>
      </c>
      <c r="G11" s="189"/>
      <c r="H11" s="189"/>
      <c r="I11" s="190"/>
    </row>
    <row r="12" spans="1:9" ht="23.25" customHeight="1">
      <c r="A12" s="130" t="s">
        <v>53</v>
      </c>
      <c r="B12" s="131"/>
      <c r="C12" s="131"/>
      <c r="D12" s="131"/>
      <c r="E12" s="131"/>
      <c r="F12" s="131"/>
      <c r="G12" s="131"/>
      <c r="H12" s="131"/>
      <c r="I12" s="131"/>
    </row>
    <row r="13" spans="1:9" ht="24">
      <c r="A13" s="562" t="s">
        <v>54</v>
      </c>
      <c r="B13" s="574">
        <v>706954480</v>
      </c>
      <c r="C13" s="574">
        <v>747246801</v>
      </c>
      <c r="D13" s="574">
        <v>826552965</v>
      </c>
      <c r="E13" s="574">
        <v>1282691119</v>
      </c>
      <c r="F13" s="574">
        <v>1095287499</v>
      </c>
      <c r="G13" s="574">
        <v>1305781139.8400002</v>
      </c>
      <c r="H13" s="574"/>
      <c r="I13" s="574"/>
    </row>
    <row r="14" spans="1:9" ht="27.75" customHeight="1">
      <c r="A14" s="562" t="s">
        <v>55</v>
      </c>
      <c r="B14" s="574">
        <v>2222160597</v>
      </c>
      <c r="C14" s="574">
        <v>2240559940</v>
      </c>
      <c r="D14" s="574">
        <v>2855626879</v>
      </c>
      <c r="E14" s="574">
        <v>2456182846</v>
      </c>
      <c r="F14" s="574">
        <v>2259776285</v>
      </c>
      <c r="G14" s="574">
        <v>2060200956.3600001</v>
      </c>
      <c r="H14" s="574"/>
      <c r="I14" s="574"/>
    </row>
    <row r="15" spans="1:9" s="217" customFormat="1" ht="31.5" customHeight="1">
      <c r="A15" s="562" t="s">
        <v>56</v>
      </c>
      <c r="B15" s="574">
        <f>B13+B14</f>
        <v>2929115077</v>
      </c>
      <c r="C15" s="574">
        <f t="shared" ref="C15:G15" si="1">C13+C14</f>
        <v>2987806741</v>
      </c>
      <c r="D15" s="574">
        <f t="shared" si="1"/>
        <v>3682179844</v>
      </c>
      <c r="E15" s="574">
        <f t="shared" si="1"/>
        <v>3738873965</v>
      </c>
      <c r="F15" s="574">
        <f t="shared" si="1"/>
        <v>3355063784</v>
      </c>
      <c r="G15" s="574">
        <f t="shared" si="1"/>
        <v>3365982096.2000003</v>
      </c>
      <c r="H15" s="574"/>
      <c r="I15" s="574"/>
    </row>
    <row r="16" spans="1:9" s="217" customFormat="1" ht="15">
      <c r="A16" s="287" t="s">
        <v>57</v>
      </c>
      <c r="B16" s="333"/>
      <c r="C16" s="334"/>
      <c r="D16" s="334"/>
      <c r="E16" s="334"/>
      <c r="F16" s="334"/>
      <c r="G16" s="334"/>
      <c r="H16" s="334"/>
      <c r="I16" s="334"/>
    </row>
    <row r="17" spans="1:9" s="217" customFormat="1" ht="15">
      <c r="A17" s="287" t="s">
        <v>58</v>
      </c>
      <c r="B17" s="333"/>
      <c r="C17" s="334"/>
      <c r="D17" s="334"/>
      <c r="E17" s="334"/>
      <c r="F17" s="334"/>
      <c r="G17" s="334"/>
      <c r="H17" s="334"/>
      <c r="I17" s="334"/>
    </row>
    <row r="18" spans="1:9" s="331" customFormat="1" ht="15">
      <c r="A18" s="332"/>
    </row>
  </sheetData>
  <mergeCells count="4">
    <mergeCell ref="B4:E4"/>
    <mergeCell ref="F4:I4"/>
    <mergeCell ref="A3:I3"/>
    <mergeCell ref="A4:A5"/>
  </mergeCells>
  <pageMargins left="0.70866141732283472" right="0.70866141732283472" top="0.74803149606299213" bottom="0.74803149606299213" header="0.31496062992125984" footer="0.31496062992125984"/>
  <pageSetup paperSize="9" scale="70" fitToHeight="0" orientation="landscape" r:id="rId1"/>
  <headerFooter>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activeCell="A4" sqref="A4:Q4"/>
    </sheetView>
  </sheetViews>
  <sheetFormatPr defaultColWidth="9.140625" defaultRowHeight="15"/>
  <cols>
    <col min="1" max="1" width="39.42578125" style="671" bestFit="1" customWidth="1"/>
    <col min="2" max="2" width="13.140625" style="671" customWidth="1"/>
    <col min="3" max="3" width="14.28515625" style="671" customWidth="1"/>
    <col min="4" max="4" width="13.5703125" style="671" bestFit="1" customWidth="1"/>
    <col min="5" max="8" width="12.5703125" style="671" bestFit="1" customWidth="1"/>
    <col min="9" max="9" width="10" style="671" customWidth="1"/>
    <col min="10" max="10" width="10.140625" style="671" customWidth="1"/>
    <col min="11" max="16" width="9.140625" style="671"/>
    <col min="17" max="17" width="12.42578125" style="671" bestFit="1" customWidth="1"/>
    <col min="18" max="16384" width="9.140625" style="671"/>
  </cols>
  <sheetData>
    <row r="1" spans="1:17" ht="18.75" customHeight="1">
      <c r="A1" s="21" t="s">
        <v>18</v>
      </c>
      <c r="B1" s="76"/>
      <c r="C1" s="76"/>
      <c r="D1" s="77"/>
      <c r="E1" s="78"/>
      <c r="F1" s="79"/>
      <c r="G1" s="80"/>
      <c r="H1" s="80"/>
      <c r="I1" s="80"/>
      <c r="J1" s="80"/>
      <c r="K1" s="80"/>
      <c r="L1" s="80"/>
      <c r="M1" s="80"/>
      <c r="N1" s="80"/>
      <c r="O1" s="80"/>
      <c r="P1" s="80"/>
      <c r="Q1" s="80"/>
    </row>
    <row r="2" spans="1:17" ht="18" customHeight="1">
      <c r="A2" s="21" t="s">
        <v>19</v>
      </c>
      <c r="B2" s="84"/>
      <c r="C2" s="84"/>
      <c r="D2" s="77"/>
      <c r="E2" s="78"/>
      <c r="F2" s="79"/>
      <c r="G2" s="80"/>
      <c r="H2" s="80"/>
      <c r="I2" s="80"/>
      <c r="J2" s="80"/>
      <c r="K2" s="80"/>
      <c r="L2" s="80"/>
      <c r="M2" s="80"/>
      <c r="N2" s="80"/>
      <c r="O2" s="80"/>
      <c r="P2" s="80"/>
      <c r="Q2" s="80"/>
    </row>
    <row r="3" spans="1:17">
      <c r="A3" s="76"/>
      <c r="B3" s="76"/>
      <c r="C3" s="76"/>
      <c r="D3" s="77"/>
      <c r="E3" s="78"/>
      <c r="F3" s="79"/>
      <c r="G3" s="80"/>
      <c r="H3" s="80"/>
      <c r="I3" s="80"/>
      <c r="J3" s="80"/>
      <c r="K3" s="80"/>
      <c r="L3" s="80"/>
      <c r="M3" s="80"/>
      <c r="N3" s="80"/>
      <c r="O3" s="80"/>
      <c r="P3" s="80"/>
      <c r="Q3" s="80"/>
    </row>
    <row r="4" spans="1:17">
      <c r="A4" s="1129" t="s">
        <v>368</v>
      </c>
      <c r="B4" s="1129"/>
      <c r="C4" s="1129"/>
      <c r="D4" s="1129"/>
      <c r="E4" s="1129"/>
      <c r="F4" s="1129"/>
      <c r="G4" s="1129"/>
      <c r="H4" s="1129"/>
      <c r="I4" s="1129"/>
      <c r="J4" s="1129"/>
      <c r="K4" s="1129"/>
      <c r="L4" s="1129"/>
      <c r="M4" s="1129"/>
      <c r="N4" s="1129"/>
      <c r="O4" s="1129"/>
      <c r="P4" s="1129"/>
      <c r="Q4" s="1129"/>
    </row>
    <row r="5" spans="1:17" ht="15" customHeight="1">
      <c r="A5" s="1090" t="s">
        <v>327</v>
      </c>
      <c r="B5" s="1085" t="s">
        <v>23</v>
      </c>
      <c r="C5" s="1085" t="s">
        <v>24</v>
      </c>
      <c r="D5" s="1085" t="s">
        <v>25</v>
      </c>
      <c r="E5" s="1147">
        <v>2016</v>
      </c>
      <c r="F5" s="1148"/>
      <c r="G5" s="1148"/>
      <c r="H5" s="1148"/>
      <c r="I5" s="1148"/>
      <c r="J5" s="1148"/>
      <c r="K5" s="1148"/>
      <c r="L5" s="1148"/>
      <c r="M5" s="1148"/>
      <c r="N5" s="1148"/>
      <c r="O5" s="1148"/>
      <c r="P5" s="1148"/>
      <c r="Q5" s="1148"/>
    </row>
    <row r="6" spans="1:17" ht="24" customHeight="1">
      <c r="A6" s="1092"/>
      <c r="B6" s="1086"/>
      <c r="C6" s="1086"/>
      <c r="D6" s="1086"/>
      <c r="E6" s="1" t="s">
        <v>26</v>
      </c>
      <c r="F6" s="1" t="s">
        <v>27</v>
      </c>
      <c r="G6" s="1" t="s">
        <v>28</v>
      </c>
      <c r="H6" s="1" t="s">
        <v>29</v>
      </c>
      <c r="I6" s="1" t="s">
        <v>30</v>
      </c>
      <c r="J6" s="1" t="s">
        <v>31</v>
      </c>
      <c r="K6" s="1" t="s">
        <v>32</v>
      </c>
      <c r="L6" s="1" t="s">
        <v>33</v>
      </c>
      <c r="M6" s="1" t="s">
        <v>34</v>
      </c>
      <c r="N6" s="1" t="s">
        <v>35</v>
      </c>
      <c r="O6" s="1" t="s">
        <v>36</v>
      </c>
      <c r="P6" s="1" t="s">
        <v>37</v>
      </c>
      <c r="Q6" s="1" t="s">
        <v>38</v>
      </c>
    </row>
    <row r="7" spans="1:17">
      <c r="A7" s="838" t="s">
        <v>272</v>
      </c>
      <c r="B7" s="839"/>
      <c r="C7" s="839"/>
      <c r="D7" s="839"/>
      <c r="E7" s="839"/>
      <c r="F7" s="839"/>
      <c r="G7" s="839"/>
      <c r="H7" s="839"/>
      <c r="I7" s="839"/>
      <c r="J7" s="839"/>
      <c r="K7" s="839"/>
      <c r="L7" s="839"/>
      <c r="M7" s="839"/>
      <c r="N7" s="839"/>
      <c r="O7" s="839"/>
      <c r="P7" s="839"/>
      <c r="Q7" s="839"/>
    </row>
    <row r="8" spans="1:17" ht="15.75" thickBot="1">
      <c r="A8" s="1146"/>
      <c r="B8" s="1146"/>
      <c r="C8" s="1146"/>
      <c r="D8" s="1146"/>
      <c r="E8" s="1146"/>
      <c r="F8" s="1146"/>
      <c r="G8" s="1146"/>
      <c r="H8" s="1146"/>
      <c r="I8" s="1146"/>
      <c r="J8" s="1146"/>
      <c r="K8" s="1146"/>
      <c r="L8" s="1146"/>
      <c r="M8" s="1146"/>
      <c r="N8" s="1146"/>
      <c r="O8" s="1146"/>
      <c r="P8" s="1146"/>
      <c r="Q8" s="1146"/>
    </row>
    <row r="9" spans="1:17" ht="22.5" customHeight="1">
      <c r="A9" s="657" t="s">
        <v>273</v>
      </c>
      <c r="B9" s="319">
        <v>9063973622.8400002</v>
      </c>
      <c r="C9" s="319">
        <v>8521347472.1399994</v>
      </c>
      <c r="D9" s="317">
        <v>7851206448.4400005</v>
      </c>
      <c r="E9" s="317">
        <v>1134965311.8399999</v>
      </c>
      <c r="F9" s="317">
        <v>801015620.53999996</v>
      </c>
      <c r="G9" s="317">
        <v>500253188.24000001</v>
      </c>
      <c r="H9" s="317">
        <v>818519650.72000003</v>
      </c>
      <c r="I9" s="317">
        <v>762920515.04999995</v>
      </c>
      <c r="J9" s="317">
        <v>591047164.99000001</v>
      </c>
      <c r="K9" s="172"/>
      <c r="L9" s="172"/>
      <c r="M9" s="172"/>
      <c r="N9" s="172"/>
      <c r="O9" s="172"/>
      <c r="P9" s="173"/>
      <c r="Q9" s="317">
        <f>SUM(E9:P9)</f>
        <v>4608721451.3800001</v>
      </c>
    </row>
    <row r="10" spans="1:17" ht="25.5" customHeight="1">
      <c r="A10" s="174" t="s">
        <v>274</v>
      </c>
      <c r="B10" s="320">
        <v>9996425915.4799995</v>
      </c>
      <c r="C10" s="320">
        <v>10104051282.110001</v>
      </c>
      <c r="D10" s="318">
        <v>9629612597.7000732</v>
      </c>
      <c r="E10" s="318">
        <v>1365151831.6200001</v>
      </c>
      <c r="F10" s="318">
        <v>995472074.92000008</v>
      </c>
      <c r="G10" s="318">
        <v>564220057.46000004</v>
      </c>
      <c r="H10" s="318">
        <v>958638400.85000002</v>
      </c>
      <c r="I10" s="1002">
        <v>889900624.75</v>
      </c>
      <c r="J10" s="1002">
        <v>692472256.59000003</v>
      </c>
      <c r="K10" s="177"/>
      <c r="L10" s="177"/>
      <c r="M10" s="177"/>
      <c r="N10" s="177"/>
      <c r="O10" s="177"/>
      <c r="P10" s="177"/>
      <c r="Q10" s="320">
        <f>SUM(E10:P10)</f>
        <v>5465855246.1900005</v>
      </c>
    </row>
    <row r="11" spans="1:17" ht="22.5" customHeight="1" thickBot="1">
      <c r="A11" s="653" t="s">
        <v>275</v>
      </c>
      <c r="B11" s="654">
        <f>B9/B10</f>
        <v>0.90672143218747336</v>
      </c>
      <c r="C11" s="654">
        <f t="shared" ref="C11:J11" si="0">C9/C10</f>
        <v>0.84335948365856972</v>
      </c>
      <c r="D11" s="654">
        <f t="shared" si="0"/>
        <v>0.81531903477769962</v>
      </c>
      <c r="E11" s="654">
        <f t="shared" si="0"/>
        <v>0.83138394246825853</v>
      </c>
      <c r="F11" s="654">
        <f t="shared" si="0"/>
        <v>0.80465905646260605</v>
      </c>
      <c r="G11" s="654">
        <f t="shared" si="0"/>
        <v>0.88662779996165786</v>
      </c>
      <c r="H11" s="654">
        <f t="shared" si="0"/>
        <v>0.8538356589869962</v>
      </c>
      <c r="I11" s="654">
        <f t="shared" si="0"/>
        <v>0.85730978699371896</v>
      </c>
      <c r="J11" s="654">
        <f t="shared" si="0"/>
        <v>0.85353190595756689</v>
      </c>
      <c r="K11" s="655"/>
      <c r="L11" s="655"/>
      <c r="M11" s="655"/>
      <c r="N11" s="655"/>
      <c r="O11" s="655"/>
      <c r="P11" s="655"/>
      <c r="Q11" s="654">
        <f>Q9/Q10</f>
        <v>0.84318395636118071</v>
      </c>
    </row>
    <row r="12" spans="1:17" ht="20.25" customHeight="1">
      <c r="A12" s="171" t="s">
        <v>276</v>
      </c>
      <c r="B12" s="320">
        <v>3678369291.04</v>
      </c>
      <c r="C12" s="320">
        <v>2730370542.3899999</v>
      </c>
      <c r="D12" s="318">
        <v>2279655125.1599998</v>
      </c>
      <c r="E12" s="318">
        <v>18569686.649999999</v>
      </c>
      <c r="F12" s="320">
        <v>25892741.940000001</v>
      </c>
      <c r="G12" s="320">
        <v>12175997.279999999</v>
      </c>
      <c r="H12" s="318">
        <v>11197827.310000001</v>
      </c>
      <c r="I12" s="318">
        <v>6852327.6200000001</v>
      </c>
      <c r="J12" s="320">
        <v>6509085.7000000002</v>
      </c>
      <c r="K12" s="320"/>
      <c r="L12" s="318"/>
      <c r="M12" s="318"/>
      <c r="N12" s="320"/>
      <c r="O12" s="320"/>
      <c r="P12" s="318"/>
      <c r="Q12" s="318">
        <f>SUM(E12:P12)</f>
        <v>81197666.500000015</v>
      </c>
    </row>
    <row r="13" spans="1:17" ht="27" customHeight="1">
      <c r="A13" s="174" t="s">
        <v>277</v>
      </c>
      <c r="B13" s="320">
        <v>5556857852.710001</v>
      </c>
      <c r="C13" s="320">
        <v>4172400259.9900002</v>
      </c>
      <c r="D13" s="320">
        <v>3571322269.9700003</v>
      </c>
      <c r="E13" s="320">
        <v>29331454.440000001</v>
      </c>
      <c r="F13" s="320">
        <v>42139744.699999996</v>
      </c>
      <c r="G13" s="320">
        <v>19874360.729999997</v>
      </c>
      <c r="H13" s="320">
        <v>21039577.129999999</v>
      </c>
      <c r="I13" s="320">
        <v>14129680.4</v>
      </c>
      <c r="J13" s="320">
        <v>13649719.450000001</v>
      </c>
      <c r="K13" s="320"/>
      <c r="L13" s="320"/>
      <c r="M13" s="320"/>
      <c r="N13" s="320"/>
      <c r="O13" s="320"/>
      <c r="P13" s="320"/>
      <c r="Q13" s="320">
        <f>SUM(E13:P13)</f>
        <v>140164536.84999999</v>
      </c>
    </row>
    <row r="14" spans="1:17" ht="17.25" customHeight="1" thickBot="1">
      <c r="A14" s="653" t="s">
        <v>278</v>
      </c>
      <c r="B14" s="654">
        <f>B12/B13</f>
        <v>0.66195130207372699</v>
      </c>
      <c r="C14" s="654">
        <f t="shared" ref="C14:J14" si="1">C12/C13</f>
        <v>0.65438845083298491</v>
      </c>
      <c r="D14" s="654">
        <f t="shared" si="1"/>
        <v>0.63832243433442637</v>
      </c>
      <c r="E14" s="654">
        <f t="shared" si="1"/>
        <v>0.63309805137641162</v>
      </c>
      <c r="F14" s="654">
        <f t="shared" si="1"/>
        <v>0.61444942593589102</v>
      </c>
      <c r="G14" s="654">
        <f t="shared" si="1"/>
        <v>0.61264849951226585</v>
      </c>
      <c r="H14" s="654">
        <f t="shared" si="1"/>
        <v>0.53222682380023678</v>
      </c>
      <c r="I14" s="654">
        <f t="shared" si="1"/>
        <v>0.48495984523471597</v>
      </c>
      <c r="J14" s="654">
        <f t="shared" si="1"/>
        <v>0.47686589631701182</v>
      </c>
      <c r="K14" s="656"/>
      <c r="L14" s="656"/>
      <c r="M14" s="656"/>
      <c r="N14" s="656"/>
      <c r="O14" s="656"/>
      <c r="P14" s="656"/>
      <c r="Q14" s="654">
        <f>Q12/Q13</f>
        <v>0.57930249922557364</v>
      </c>
    </row>
    <row r="15" spans="1:17" ht="17.25" customHeight="1">
      <c r="A15" s="171" t="s">
        <v>279</v>
      </c>
      <c r="B15" s="320">
        <v>1543431965.6699998</v>
      </c>
      <c r="C15" s="320">
        <v>2954242909.6699996</v>
      </c>
      <c r="D15" s="320">
        <v>2892713649.77</v>
      </c>
      <c r="E15" s="320">
        <v>8969831.6500000004</v>
      </c>
      <c r="F15" s="320">
        <v>45326924.700000003</v>
      </c>
      <c r="G15" s="320">
        <v>26437708.02</v>
      </c>
      <c r="H15" s="320">
        <v>8749286.7799999993</v>
      </c>
      <c r="I15" s="320">
        <v>43315108.670000002</v>
      </c>
      <c r="J15" s="320">
        <v>156163179.18000001</v>
      </c>
      <c r="K15" s="320"/>
      <c r="L15" s="320"/>
      <c r="M15" s="320"/>
      <c r="N15" s="320"/>
      <c r="O15" s="320"/>
      <c r="P15" s="320"/>
      <c r="Q15" s="320">
        <f>SUM(E15:P15)</f>
        <v>288962039</v>
      </c>
    </row>
    <row r="16" spans="1:17" ht="17.25" customHeight="1">
      <c r="A16" s="174" t="s">
        <v>280</v>
      </c>
      <c r="B16" s="320">
        <v>1663249945.9699998</v>
      </c>
      <c r="C16" s="649">
        <v>3461959894.1799998</v>
      </c>
      <c r="D16" s="649">
        <v>3565014188.4400001</v>
      </c>
      <c r="E16" s="649">
        <v>14901305.18</v>
      </c>
      <c r="F16" s="649">
        <v>51718001.240000002</v>
      </c>
      <c r="G16" s="649">
        <v>31107569.399999999</v>
      </c>
      <c r="H16" s="649">
        <v>10774265.699999999</v>
      </c>
      <c r="I16" s="320">
        <v>49024729.5</v>
      </c>
      <c r="J16" s="320">
        <v>170713667.21000001</v>
      </c>
      <c r="K16" s="649"/>
      <c r="L16" s="649"/>
      <c r="M16" s="649"/>
      <c r="N16" s="649"/>
      <c r="O16" s="649"/>
      <c r="P16" s="649"/>
      <c r="Q16" s="649">
        <f>SUM(E16:P16)</f>
        <v>328239538.23000002</v>
      </c>
    </row>
    <row r="17" spans="1:17" ht="17.25" customHeight="1" thickBot="1">
      <c r="A17" s="653" t="s">
        <v>281</v>
      </c>
      <c r="B17" s="654">
        <f>B15/B16</f>
        <v>0.92796153062243292</v>
      </c>
      <c r="C17" s="654">
        <f t="shared" ref="C17:J17" si="2">C15/C16</f>
        <v>0.85334405942612512</v>
      </c>
      <c r="D17" s="654">
        <f t="shared" si="2"/>
        <v>0.81141714923603447</v>
      </c>
      <c r="E17" s="654">
        <f t="shared" si="2"/>
        <v>0.60194939581795748</v>
      </c>
      <c r="F17" s="654">
        <f t="shared" si="2"/>
        <v>0.87642452556621664</v>
      </c>
      <c r="G17" s="654">
        <f t="shared" si="2"/>
        <v>0.84988022304307709</v>
      </c>
      <c r="H17" s="654">
        <f t="shared" si="2"/>
        <v>0.81205411334899602</v>
      </c>
      <c r="I17" s="654">
        <f t="shared" si="2"/>
        <v>0.88353590344644328</v>
      </c>
      <c r="J17" s="654">
        <f t="shared" si="2"/>
        <v>0.91476670692041895</v>
      </c>
      <c r="K17" s="654"/>
      <c r="L17" s="654"/>
      <c r="M17" s="654"/>
      <c r="N17" s="654"/>
      <c r="O17" s="654"/>
      <c r="P17" s="654"/>
      <c r="Q17" s="654">
        <f>Q15/Q16</f>
        <v>0.88033891516603957</v>
      </c>
    </row>
    <row r="18" spans="1:17" ht="24">
      <c r="A18" s="171" t="s">
        <v>282</v>
      </c>
      <c r="B18" s="320"/>
      <c r="C18" s="320">
        <v>1582923337.5699999</v>
      </c>
      <c r="D18" s="320">
        <v>2245788350.5099998</v>
      </c>
      <c r="E18" s="320">
        <v>470197450</v>
      </c>
      <c r="F18" s="320">
        <v>471807431.92000002</v>
      </c>
      <c r="G18" s="320">
        <v>1862.95</v>
      </c>
      <c r="H18" s="320">
        <v>3222.59</v>
      </c>
      <c r="I18" s="320">
        <v>2924.81</v>
      </c>
      <c r="J18" s="320">
        <v>831.18</v>
      </c>
      <c r="K18" s="180"/>
      <c r="L18" s="180"/>
      <c r="M18" s="180"/>
      <c r="N18" s="180"/>
      <c r="O18" s="180"/>
      <c r="P18" s="180"/>
      <c r="Q18" s="318">
        <f>SUM(E18:P18)</f>
        <v>942013723.45000005</v>
      </c>
    </row>
    <row r="19" spans="1:17" ht="24">
      <c r="A19" s="174" t="s">
        <v>283</v>
      </c>
      <c r="B19" s="320"/>
      <c r="C19" s="649">
        <v>2166558354.7300005</v>
      </c>
      <c r="D19" s="649">
        <v>3122988674.6399999</v>
      </c>
      <c r="E19" s="649">
        <v>642721948.9000001</v>
      </c>
      <c r="F19" s="649">
        <v>640929739.56000006</v>
      </c>
      <c r="G19" s="649">
        <v>4427.95</v>
      </c>
      <c r="H19" s="649">
        <v>4490.83</v>
      </c>
      <c r="I19" s="320">
        <v>5632.44</v>
      </c>
      <c r="J19" s="320">
        <v>1391.89</v>
      </c>
      <c r="K19" s="650"/>
      <c r="L19" s="650"/>
      <c r="M19" s="650"/>
      <c r="N19" s="650"/>
      <c r="O19" s="650"/>
      <c r="P19" s="650"/>
      <c r="Q19" s="651">
        <f>SUM(E19:P19)</f>
        <v>1283667631.5700002</v>
      </c>
    </row>
    <row r="20" spans="1:17" ht="30" customHeight="1" thickBot="1">
      <c r="A20" s="178" t="s">
        <v>284</v>
      </c>
      <c r="B20" s="321"/>
      <c r="C20" s="321">
        <f t="shared" ref="C20:J20" si="3">C18/C19</f>
        <v>0.73061652556654355</v>
      </c>
      <c r="D20" s="321">
        <f t="shared" si="3"/>
        <v>0.71911511199088207</v>
      </c>
      <c r="E20" s="321">
        <f t="shared" si="3"/>
        <v>0.73157210642133697</v>
      </c>
      <c r="F20" s="321">
        <f t="shared" si="3"/>
        <v>0.73612972342943084</v>
      </c>
      <c r="G20" s="321">
        <f t="shared" si="3"/>
        <v>0.42072516627333195</v>
      </c>
      <c r="H20" s="321">
        <f t="shared" si="3"/>
        <v>0.71759340700939478</v>
      </c>
      <c r="I20" s="321">
        <f t="shared" si="3"/>
        <v>0.51927938868412271</v>
      </c>
      <c r="J20" s="321">
        <f t="shared" si="3"/>
        <v>0.59715925827471994</v>
      </c>
      <c r="K20" s="179"/>
      <c r="L20" s="179"/>
      <c r="M20" s="182"/>
      <c r="N20" s="182"/>
      <c r="O20" s="182"/>
      <c r="P20" s="182"/>
      <c r="Q20" s="321">
        <f>Q18/Q19</f>
        <v>0.73384550664244952</v>
      </c>
    </row>
    <row r="21" spans="1:17" ht="23.25" customHeight="1" thickBot="1">
      <c r="A21" s="1001" t="s">
        <v>285</v>
      </c>
      <c r="B21" s="1000">
        <f>(B9+B12+B15+B18)/(B10+B13+B16+B19)</f>
        <v>0.82977067955325112</v>
      </c>
      <c r="C21" s="1000">
        <f t="shared" ref="C21:J21" si="4">(C9+C12+C15+C18)/(C10+C13+C16+C19)</f>
        <v>0.79321317377236045</v>
      </c>
      <c r="D21" s="1000">
        <f t="shared" si="4"/>
        <v>0.76773147870397318</v>
      </c>
      <c r="E21" s="1000">
        <f t="shared" si="4"/>
        <v>0.79562257037035355</v>
      </c>
      <c r="F21" s="1000">
        <f t="shared" si="4"/>
        <v>0.77678676069488073</v>
      </c>
      <c r="G21" s="1000">
        <f t="shared" si="4"/>
        <v>0.87591537226900607</v>
      </c>
      <c r="H21" s="1000">
        <f t="shared" si="4"/>
        <v>0.84654882761215089</v>
      </c>
      <c r="I21" s="1000">
        <f t="shared" si="4"/>
        <v>0.85313653603251427</v>
      </c>
      <c r="J21" s="1000">
        <f t="shared" si="4"/>
        <v>0.85958990193617613</v>
      </c>
      <c r="K21" s="1000"/>
      <c r="L21" s="1000"/>
      <c r="M21" s="183"/>
      <c r="N21" s="183"/>
      <c r="O21" s="183"/>
      <c r="P21" s="183"/>
      <c r="Q21" s="322">
        <f t="shared" ref="Q21" si="5">(Q9+Q12+Q15+Q18)/(Q10+Q13+Q16+Q19)</f>
        <v>0.82030407331849431</v>
      </c>
    </row>
    <row r="22" spans="1:17" ht="16.5" customHeight="1">
      <c r="D22" s="652"/>
    </row>
    <row r="23" spans="1:17" ht="16.5" customHeight="1">
      <c r="A23" s="287" t="s">
        <v>57</v>
      </c>
    </row>
    <row r="24" spans="1:17">
      <c r="A24" s="287" t="s">
        <v>291</v>
      </c>
    </row>
  </sheetData>
  <mergeCells count="7">
    <mergeCell ref="A8:Q8"/>
    <mergeCell ref="A4:Q4"/>
    <mergeCell ref="A5:A6"/>
    <mergeCell ref="B5:B6"/>
    <mergeCell ref="C5:C6"/>
    <mergeCell ref="D5:D6"/>
    <mergeCell ref="E5:Q5"/>
  </mergeCells>
  <pageMargins left="0.70866141732283472" right="0.70866141732283472" top="0.74803149606299213" bottom="0.74803149606299213" header="0.31496062992125984" footer="0.31496062992125984"/>
  <pageSetup paperSize="9" scale="60" fitToHeight="0"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14</vt:i4>
      </vt:variant>
      <vt:variant>
        <vt:lpstr>Περιοχές με ονόματα</vt:lpstr>
      </vt:variant>
      <vt:variant>
        <vt:i4>16</vt:i4>
      </vt:variant>
    </vt:vector>
  </HeadingPairs>
  <TitlesOfParts>
    <vt:vector size="30" baseType="lpstr">
      <vt:lpstr>KPI_ΕΠΙΣΚΟΠΗΣΗ</vt:lpstr>
      <vt:lpstr>ΕΙΣΠΡΑΞΗ ΛΗΞΙΠΡΟΘΕΣΜΩΝ</vt:lpstr>
      <vt:lpstr>ΕΙΣΠΡΑΞΗ ΛΗΞΙΠΡΟΘΕΣΜΩΝ ΕΜΕΙΣ</vt:lpstr>
      <vt:lpstr>ΕΛΕΓΧΟΙ ΦΡΕΣΚΩΝ ΥΠΟΘ</vt:lpstr>
      <vt:lpstr>ΚΕΜΕΕΠ</vt:lpstr>
      <vt:lpstr>ΚΕΦΟΜΕΠ</vt:lpstr>
      <vt:lpstr>ΥΕΔΔΕ</vt:lpstr>
      <vt:lpstr>ΕΠΙΣΤΡΟΦΕΣ ΦΟΡΩΝ</vt:lpstr>
      <vt:lpstr>ΣΥΜΜΟΡΦΩΣΗ</vt:lpstr>
      <vt:lpstr>ΑΝΑΓΚ. ΜΕΤΡΑ ΕΙΣΠΡΑΞΗΣ</vt:lpstr>
      <vt:lpstr>ΔΕΔ ΑΘΗΝΑ</vt:lpstr>
      <vt:lpstr>ΔΕΔ ΘΕΣΣΑΛΟΝΙΚΗ</vt:lpstr>
      <vt:lpstr>ΑΝΘΡΩΠΙΝΟ ΔΥΝΑΜΙΚΟ</vt:lpstr>
      <vt:lpstr>ΜΗΝΥΤΗΡΙΕΣ</vt:lpstr>
      <vt:lpstr>KPI_ΕΠΙΣΚΟΠΗΣΗ!Print_Area</vt:lpstr>
      <vt:lpstr>'ΑΝΑΓΚ. ΜΕΤΡΑ ΕΙΣΠΡΑΞΗΣ'!Print_Area</vt:lpstr>
      <vt:lpstr>'ΑΝΘΡΩΠΙΝΟ ΔΥΝΑΜΙΚΟ'!Print_Area</vt:lpstr>
      <vt:lpstr>'ΔΕΔ ΑΘΗΝΑ'!Print_Area</vt:lpstr>
      <vt:lpstr>'ΔΕΔ ΘΕΣΣΑΛΟΝΙΚΗ'!Print_Area</vt:lpstr>
      <vt:lpstr>'ΕΙΣΠΡΑΞΗ ΛΗΞΙΠΡΟΘΕΣΜΩΝ ΕΜΕΙΣ'!Print_Area</vt:lpstr>
      <vt:lpstr>'ΕΛΕΓΧΟΙ ΦΡΕΣΚΩΝ ΥΠΟΘ'!Print_Area</vt:lpstr>
      <vt:lpstr>'ΕΠΙΣΤΡΟΦΕΣ ΦΟΡΩΝ'!Print_Area</vt:lpstr>
      <vt:lpstr>ΚΕΜΕΕΠ!Print_Area</vt:lpstr>
      <vt:lpstr>ΚΕΦΟΜΕΠ!Print_Area</vt:lpstr>
      <vt:lpstr>ΜΗΝΥΤΗΡΙΕΣ!Print_Area</vt:lpstr>
      <vt:lpstr>ΣΥΜΜΟΡΦΩΣΗ!Print_Area</vt:lpstr>
      <vt:lpstr>ΥΕΔΔΕ!Print_Area</vt:lpstr>
      <vt:lpstr>'ΑΝΘΡΩΠΙΝΟ ΔΥΝΑΜΙΚΟ'!Print_Titles</vt:lpstr>
      <vt:lpstr>ΚΕΦΟΜΕΠ!Print_Titles</vt:lpstr>
      <vt:lpstr>ΜΗΝΥΤΗΡΙΕΣ!Print_Titles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 dikaiologitika.gr</cp:lastModifiedBy>
  <cp:lastPrinted>2016-07-27T10:34:36Z</cp:lastPrinted>
  <dcterms:created xsi:type="dcterms:W3CDTF">2015-03-02T12:06:27Z</dcterms:created>
  <dcterms:modified xsi:type="dcterms:W3CDTF">2016-08-05T05:13:54Z</dcterms:modified>
</cp:coreProperties>
</file>